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jli\Documents\Cloud\AWS\Calulator\"/>
    </mc:Choice>
  </mc:AlternateContent>
  <xr:revisionPtr revIDLastSave="0" documentId="13_ncr:1_{090F9600-7BE9-468B-B051-40970A729A3C}" xr6:coauthVersionLast="45" xr6:coauthVersionMax="45" xr10:uidLastSave="{00000000-0000-0000-0000-000000000000}"/>
  <workbookProtection workbookAlgorithmName="SHA-512" workbookHashValue="SR59H/bR9Aa1ZV58n+ydTb4cgCdYrBIyGnXdz9JmsoOWWJscornVKPp/nw/XVTOj+q4Tnkcq3A2/uMLcQi8BWA==" workbookSaltValue="/DMp2sJ8UZGevBb4Oo+11A==" workbookSpinCount="100000" lockStructure="1"/>
  <bookViews>
    <workbookView xWindow="38280" yWindow="-120" windowWidth="29040" windowHeight="17640" tabRatio="720" xr2:uid="{00000000-000D-0000-FFFF-FFFF00000000}"/>
  </bookViews>
  <sheets>
    <sheet name="XProtect Calulator" sheetId="11" r:id="rId1"/>
    <sheet name="Input" sheetId="12" state="hidden" r:id="rId2"/>
    <sheet name="Calulations" sheetId="14" state="hidden" r:id="rId3"/>
    <sheet name="EC2" sheetId="2" state="hidden" r:id="rId4"/>
    <sheet name="EC2 Guideline" sheetId="4" state="hidden" r:id="rId5"/>
    <sheet name="Storage Calulations" sheetId="15" state="hidden" r:id="rId6"/>
    <sheet name="AWS Prices" sheetId="13" state="hidden" r:id="rId7"/>
  </sheets>
  <definedNames>
    <definedName name="_xlnm._FilterDatabase" localSheetId="0" hidden="1">'XProtect Calulator'!$C$20:$H$22</definedName>
    <definedName name="AppStream_Hours">Calulations!$B$36</definedName>
    <definedName name="AppStream_Instance_Type">Calulations!$B$35</definedName>
    <definedName name="AppStream_Streaming_Price">Calulations!$B$37</definedName>
    <definedName name="AppStream_Users_Price">Calulations!$B$34</definedName>
    <definedName name="Archive">Input!$C$60</definedName>
    <definedName name="Archive_Storage">'EC2'!$B$14</definedName>
    <definedName name="AWS_Services">'AWS Prices'!$A$22:$C$31</definedName>
    <definedName name="Check_EC2_Payment">Input!$F$7</definedName>
    <definedName name="Check_Region">Input!$F$2</definedName>
    <definedName name="Client_Access">Input!$E$43</definedName>
    <definedName name="Custom_Archive">'XProtect Calulator'!$C$55</definedName>
    <definedName name="Custom_MediaDB">'XProtect Calulator'!$C$52</definedName>
    <definedName name="Daily_Usage">'XProtect Calulator'!$C$71</definedName>
    <definedName name="Down_Throughput">'XProtect Calulator'!$E$93</definedName>
    <definedName name="Downlink">Calulations!$A$42:$B$45</definedName>
    <definedName name="EBS_ConfigDB_Price">Calulations!$A$5</definedName>
    <definedName name="EBS_LiveDB_Price">Calulations!$A$8</definedName>
    <definedName name="EC2_Instance">'EC2'!$B$32</definedName>
    <definedName name="EC2_Instances">'AWS Prices'!$A$3:$E$10</definedName>
    <definedName name="EC2_Payment">Input!$E$7</definedName>
    <definedName name="EC2_Payment_Name">Input!$G$7</definedName>
    <definedName name="EC2_Performance">'EC2 Guideline'!$A$5:$F$11</definedName>
    <definedName name="EC2_Performance_10">'EC2 Guideline'!$A$16:$B$23</definedName>
    <definedName name="EC2_Performance_100">'EC2 Guideline'!$A$46:$B$53</definedName>
    <definedName name="EC2_Performance_25">'EC2 Guideline'!$A$26:$B$33</definedName>
    <definedName name="EC2_Performance_50">'EC2 Guideline'!$A$36:$B$43</definedName>
    <definedName name="EC2_Price">Calulations!$A$2</definedName>
    <definedName name="EC2_Price_Column">Input!$K$2</definedName>
    <definedName name="EC2Data">Input!$C$82</definedName>
    <definedName name="Egress_per_Month">Calulations!$B$27</definedName>
    <definedName name="Egress_Price">Calulations!$B$28</definedName>
    <definedName name="Error_Message">Input!$C$65:$P$79</definedName>
    <definedName name="FSX_AZ">Input!$H$50</definedName>
    <definedName name="FSX_AZ_Deployment">Input!$G$50</definedName>
    <definedName name="FSX_Storage_Price">Calulations!$B$11</definedName>
    <definedName name="FSX_Thoughput_Allocation">Calulations!$B$15</definedName>
    <definedName name="FSX_Throughput">'EC2'!#REF!</definedName>
    <definedName name="FSX_Throughput_Price">Calulations!$B$16</definedName>
    <definedName name="InputData">Input!$C$80</definedName>
    <definedName name="Investigation">'XProtect Calulator'!#REF!</definedName>
    <definedName name="Live_Storage">'EC2'!$B$13</definedName>
    <definedName name="MediaDB">Input!$C$59</definedName>
    <definedName name="Network_Overhead">'Storage Calulations'!$C$25</definedName>
    <definedName name="No_Cameras">'XProtect Calulator'!$C$22</definedName>
    <definedName name="No_Operators">'XProtect Calulator'!$C$67</definedName>
    <definedName name="No_Sites">'XProtect Calulator'!$C$87</definedName>
    <definedName name="Rec_degree">Input!$G$13</definedName>
    <definedName name="Rec_Stream">'XProtect Calulator'!$C$26</definedName>
    <definedName name="Region">Input!$E$2</definedName>
    <definedName name="Region_Name">Input!$G$2</definedName>
    <definedName name="Req_Archive">'Storage Calulations'!$D$15</definedName>
    <definedName name="Req_MediaDB">'Storage Calulations'!$D$14</definedName>
    <definedName name="ReqStorage">'Storage Calulations'!$A$14</definedName>
    <definedName name="Retention_Time">'XProtect Calulator'!$C$34</definedName>
    <definedName name="Retention_Unit">'XProtect Calulator'!$J$34</definedName>
    <definedName name="Storage_Input">Input!$A$57</definedName>
    <definedName name="StorageData">Input!$C$81</definedName>
    <definedName name="Throughput">Calulations!$B$20</definedName>
    <definedName name="Time_Factor">Input!$K$21</definedName>
    <definedName name="Up_Throughput">'XProtect Calulator'!$E$92</definedName>
    <definedName name="Uplink">'Storage Calulations'!$C$27</definedName>
    <definedName name="Video_Streams">Input!$B$33:$H$41</definedName>
    <definedName name="Viewed_Cameras">Input!$G$29</definedName>
    <definedName name="VPN">Calulations!$B$21</definedName>
    <definedName name="VPN_Price">Calulations!$B$19</definedName>
    <definedName name="Weighted_no_Cameras">'EC2'!$B$31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2" l="1"/>
  <c r="B48" i="2" s="1"/>
  <c r="C15" i="4"/>
  <c r="G15" i="14"/>
  <c r="G16" i="14" s="1"/>
  <c r="B50" i="2" l="1"/>
  <c r="B49" i="2"/>
  <c r="B51" i="2"/>
  <c r="C74" i="12" l="1"/>
  <c r="C73" i="12"/>
  <c r="C79" i="12"/>
  <c r="C78" i="12"/>
  <c r="C77" i="12"/>
  <c r="C76" i="12"/>
  <c r="C75" i="12"/>
  <c r="C72" i="12"/>
  <c r="C71" i="12"/>
  <c r="C70" i="12"/>
  <c r="C69" i="12"/>
  <c r="C68" i="12"/>
  <c r="C67" i="12"/>
  <c r="F7" i="12"/>
  <c r="C66" i="12" s="1"/>
  <c r="F2" i="12"/>
  <c r="C65" i="12" s="1"/>
  <c r="C82" i="12" l="1"/>
  <c r="C81" i="12"/>
  <c r="C80" i="12"/>
  <c r="B3" i="15"/>
  <c r="B101" i="11" l="1"/>
  <c r="B100" i="11"/>
  <c r="B123" i="11"/>
  <c r="B107" i="11"/>
  <c r="N123" i="11"/>
  <c r="B2" i="2"/>
  <c r="B3" i="2"/>
  <c r="B5" i="2"/>
  <c r="H26" i="2"/>
  <c r="H28" i="2" s="1"/>
  <c r="H27" i="2"/>
  <c r="H29" i="2"/>
  <c r="B35" i="2"/>
  <c r="B36" i="2"/>
  <c r="B37" i="2"/>
  <c r="B45" i="14"/>
  <c r="C18" i="2" l="1"/>
  <c r="C27" i="2" s="1"/>
  <c r="F18" i="2"/>
  <c r="F19" i="2" s="1"/>
  <c r="F20" i="2" s="1"/>
  <c r="B15" i="2" s="1"/>
  <c r="D40" i="2"/>
  <c r="A18" i="2"/>
  <c r="B40" i="2"/>
  <c r="H18" i="2"/>
  <c r="H19" i="2" s="1"/>
  <c r="H20" i="2" s="1"/>
  <c r="H21" i="2" s="1"/>
  <c r="H22" i="2" s="1"/>
  <c r="C19" i="2" l="1"/>
  <c r="C20" i="2" s="1"/>
  <c r="C21" i="2" s="1"/>
  <c r="F21" i="2"/>
  <c r="F23" i="2" s="1"/>
  <c r="H23" i="2"/>
  <c r="A19" i="2"/>
  <c r="A27" i="2"/>
  <c r="F22" i="2" l="1"/>
  <c r="C28" i="2"/>
  <c r="C29" i="2" s="1"/>
  <c r="B11" i="2"/>
  <c r="B12" i="2" s="1"/>
  <c r="A20" i="2"/>
  <c r="A21" i="2" s="1"/>
  <c r="A28" i="2"/>
  <c r="A29" i="2" s="1"/>
  <c r="C22" i="2"/>
  <c r="C23" i="2"/>
  <c r="A23" i="2" l="1"/>
  <c r="A22" i="2"/>
  <c r="B38" i="2" l="1"/>
  <c r="B2" i="15" l="1"/>
  <c r="H26" i="15" l="1"/>
  <c r="H28" i="15" s="1"/>
  <c r="B5" i="15"/>
  <c r="A5" i="14"/>
  <c r="N107" i="11" s="1"/>
  <c r="C18" i="15" l="1"/>
  <c r="C19" i="15" s="1"/>
  <c r="H27" i="15"/>
  <c r="H18" i="15"/>
  <c r="H19" i="15" s="1"/>
  <c r="H20" i="15" s="1"/>
  <c r="H21" i="15" s="1"/>
  <c r="A18" i="15"/>
  <c r="H29" i="15"/>
  <c r="F18" i="15"/>
  <c r="F19" i="15" s="1"/>
  <c r="F20" i="15" s="1"/>
  <c r="J50" i="12"/>
  <c r="I50" i="12"/>
  <c r="O124" i="11"/>
  <c r="B36" i="14"/>
  <c r="B34" i="14"/>
  <c r="O123" i="11"/>
  <c r="O120" i="11"/>
  <c r="C27" i="15" l="1"/>
  <c r="E92" i="11" s="1"/>
  <c r="F21" i="15"/>
  <c r="C20" i="15"/>
  <c r="C21" i="15" s="1"/>
  <c r="C28" i="15"/>
  <c r="C29" i="15" s="1"/>
  <c r="A19" i="15"/>
  <c r="A27" i="15"/>
  <c r="H23" i="15"/>
  <c r="H22" i="15"/>
  <c r="G17" i="14"/>
  <c r="G18" i="14" s="1"/>
  <c r="G19" i="14" s="1"/>
  <c r="G20" i="14" l="1"/>
  <c r="G21" i="14" s="1"/>
  <c r="G22" i="14" s="1"/>
  <c r="C23" i="15"/>
  <c r="C22" i="15"/>
  <c r="A28" i="15"/>
  <c r="A29" i="15" s="1"/>
  <c r="A20" i="15"/>
  <c r="A21" i="15" s="1"/>
  <c r="B12" i="15"/>
  <c r="B13" i="15" s="1"/>
  <c r="F23" i="15"/>
  <c r="F22" i="15"/>
  <c r="D35" i="12"/>
  <c r="E35" i="12" s="1"/>
  <c r="D36" i="12"/>
  <c r="E36" i="12" s="1"/>
  <c r="D37" i="12"/>
  <c r="E37" i="12" s="1"/>
  <c r="D38" i="12"/>
  <c r="E38" i="12" s="1"/>
  <c r="D39" i="12"/>
  <c r="E39" i="12" s="1"/>
  <c r="D40" i="12"/>
  <c r="E40" i="12" s="1"/>
  <c r="D41" i="12"/>
  <c r="E41" i="12" s="1"/>
  <c r="D34" i="12"/>
  <c r="E34" i="12" s="1"/>
  <c r="D33" i="12"/>
  <c r="E33" i="12" s="1"/>
  <c r="G29" i="12"/>
  <c r="A34" i="14"/>
  <c r="B132" i="11"/>
  <c r="G10" i="15" l="1"/>
  <c r="A23" i="15"/>
  <c r="A22" i="15"/>
  <c r="B35" i="14"/>
  <c r="B37" i="14" s="1"/>
  <c r="B24" i="14"/>
  <c r="B25" i="14" s="1"/>
  <c r="B26" i="14" l="1"/>
  <c r="B27" i="14" s="1"/>
  <c r="B120" i="11" s="1"/>
  <c r="B44" i="14"/>
  <c r="E93" i="11" s="1"/>
  <c r="B43" i="14"/>
  <c r="N124" i="11"/>
  <c r="B58" i="14"/>
  <c r="B124" i="11"/>
  <c r="B20" i="14" l="1"/>
  <c r="C95" i="11" s="1"/>
  <c r="B28" i="14"/>
  <c r="N120" i="11" s="1"/>
  <c r="B21" i="14" l="1"/>
  <c r="B57" i="14"/>
  <c r="H50" i="12"/>
  <c r="G50" i="12"/>
  <c r="C27" i="13"/>
  <c r="B19" i="14" s="1"/>
  <c r="B27" i="13"/>
  <c r="H26" i="12"/>
  <c r="K21" i="12" s="1"/>
  <c r="B9" i="2" s="1"/>
  <c r="H25" i="12"/>
  <c r="G7" i="12"/>
  <c r="G2" i="12"/>
  <c r="B99" i="11" s="1"/>
  <c r="K2" i="12"/>
  <c r="B10" i="13"/>
  <c r="B9" i="13"/>
  <c r="F9" i="13" s="1"/>
  <c r="B8" i="13"/>
  <c r="B7" i="13"/>
  <c r="B6" i="13"/>
  <c r="F6" i="13" s="1"/>
  <c r="B5" i="13"/>
  <c r="F5" i="13" s="1"/>
  <c r="B4" i="13"/>
  <c r="F4" i="13" s="1"/>
  <c r="F8" i="13"/>
  <c r="F7" i="13"/>
  <c r="F10" i="13"/>
  <c r="B3" i="13"/>
  <c r="F3" i="13" s="1"/>
  <c r="C10" i="13"/>
  <c r="G10" i="13" s="1"/>
  <c r="C9" i="13"/>
  <c r="G9" i="13"/>
  <c r="C8" i="13"/>
  <c r="G8" i="13" s="1"/>
  <c r="C7" i="13"/>
  <c r="G7" i="13" s="1"/>
  <c r="C6" i="13"/>
  <c r="G6" i="13" s="1"/>
  <c r="C5" i="13"/>
  <c r="G5" i="13" s="1"/>
  <c r="C3" i="13"/>
  <c r="G3" i="13" s="1"/>
  <c r="C4" i="13"/>
  <c r="G4" i="13" s="1"/>
  <c r="G13" i="12"/>
  <c r="B32" i="2" s="1"/>
  <c r="D104" i="11" l="1"/>
  <c r="K22" i="11"/>
  <c r="N117" i="11"/>
  <c r="B56" i="14"/>
  <c r="B117" i="11"/>
  <c r="O117" i="11"/>
  <c r="B4" i="2"/>
  <c r="B13" i="2" s="1"/>
  <c r="B34" i="2" s="1"/>
  <c r="G16" i="15"/>
  <c r="B12" i="14"/>
  <c r="B14" i="14" s="1"/>
  <c r="B4" i="15"/>
  <c r="B9" i="15"/>
  <c r="C14" i="14" l="1"/>
  <c r="B15" i="14" s="1"/>
  <c r="B114" i="11" s="1"/>
  <c r="B104" i="11"/>
  <c r="B39" i="2"/>
  <c r="B41" i="2" s="1"/>
  <c r="B44" i="2" s="1"/>
  <c r="B14" i="2"/>
  <c r="B16" i="14"/>
  <c r="N114" i="11" s="1"/>
  <c r="G11" i="15"/>
  <c r="G14" i="15"/>
  <c r="B14" i="15"/>
  <c r="D14" i="15" s="1"/>
  <c r="G15" i="15"/>
  <c r="K52" i="11" l="1"/>
  <c r="E43" i="11"/>
  <c r="B110" i="11"/>
  <c r="B43" i="2"/>
  <c r="B45" i="2"/>
  <c r="B15" i="15"/>
  <c r="D15" i="15" s="1"/>
  <c r="E44" i="11" s="1"/>
  <c r="C59" i="12"/>
  <c r="A8" i="14" s="1"/>
  <c r="N110" i="11" s="1"/>
  <c r="K55" i="11" l="1"/>
  <c r="C60" i="12"/>
  <c r="B113" i="11" s="1"/>
  <c r="B11" i="14" l="1"/>
  <c r="N113" i="11" s="1"/>
  <c r="B55" i="14" l="1"/>
  <c r="A2" i="14"/>
  <c r="N104" i="11" s="1"/>
  <c r="N127" i="11" l="1"/>
  <c r="B53" i="14"/>
  <c r="N128" i="11" l="1"/>
  <c r="N130" i="11" s="1"/>
  <c r="N129" i="11"/>
  <c r="B5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Krarup</author>
  </authors>
  <commentList>
    <comment ref="D13" authorId="0" shapeId="0" xr:uid="{D46218C5-BFD0-438E-A6FB-4F30142B6464}">
      <text>
        <r>
          <rPr>
            <sz val="9"/>
            <color indexed="81"/>
            <rFont val="Tahoma"/>
            <family val="2"/>
          </rPr>
          <t>Consider to add extra storage if the live storage retention is less than a week.</t>
        </r>
      </text>
    </comment>
    <comment ref="A15" authorId="0" shapeId="0" xr:uid="{043AB99F-5776-4B68-9E0F-9FBE924534C9}">
      <text>
        <r>
          <rPr>
            <sz val="9"/>
            <color indexed="81"/>
            <rFont val="Tahoma"/>
            <family val="2"/>
          </rPr>
          <t>Sized for 2 hours of recording and 20 IOPS per camera.</t>
        </r>
      </text>
    </comment>
    <comment ref="I26" authorId="0" shapeId="0" xr:uid="{B2CE1483-BD9D-4232-B06D-121E685838A9}">
      <text>
        <r>
          <rPr>
            <b/>
            <sz val="9"/>
            <color indexed="81"/>
            <rFont val="Tahoma"/>
            <family val="2"/>
          </rPr>
          <t>KiB : kibibyte
https://en.wikipedia.org/wiki/Kibibyte</t>
        </r>
      </text>
    </comment>
    <comment ref="I27" authorId="0" shapeId="0" xr:uid="{1E2A0439-1B0C-45DC-A129-F4AA8024C53F}">
      <text>
        <r>
          <rPr>
            <b/>
            <sz val="9"/>
            <color indexed="81"/>
            <rFont val="Tahoma"/>
            <family val="2"/>
          </rPr>
          <t>KiB : mebibyte
https://en.wikipedia.org/wiki/Mebibyte</t>
        </r>
      </text>
    </comment>
    <comment ref="I28" authorId="0" shapeId="0" xr:uid="{29505BF7-1D4B-4DA6-9D9C-7465AD551A52}">
      <text>
        <r>
          <rPr>
            <b/>
            <sz val="9"/>
            <color indexed="81"/>
            <rFont val="Tahoma"/>
            <family val="2"/>
          </rPr>
          <t>KiB : gibibyte
https://en.wikipedia.org/wiki/Gibibyte</t>
        </r>
      </text>
    </comment>
    <comment ref="B29" authorId="0" shapeId="0" xr:uid="{D90CAA93-F00D-4EA1-AA89-45F0146BD1BF}">
      <text>
        <r>
          <rPr>
            <sz val="9"/>
            <color indexed="81"/>
            <rFont val="Tahoma"/>
            <family val="2"/>
          </rPr>
          <t>As shown in CloudWatch</t>
        </r>
      </text>
    </comment>
    <comment ref="I29" authorId="0" shapeId="0" xr:uid="{9797B3B2-A813-45A6-B672-8E2A5A8B15D9}">
      <text>
        <r>
          <rPr>
            <b/>
            <sz val="9"/>
            <color indexed="81"/>
            <rFont val="Tahoma"/>
            <family val="2"/>
          </rPr>
          <t>KiB : tebibyte
https://en.wikipedia.org/wiki/Tebibyte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Krarup</author>
  </authors>
  <commentList>
    <comment ref="I26" authorId="0" shapeId="0" xr:uid="{5378B492-8039-4BC8-B6A3-89C258B4A52B}">
      <text>
        <r>
          <rPr>
            <b/>
            <sz val="9"/>
            <color indexed="81"/>
            <rFont val="Tahoma"/>
            <family val="2"/>
          </rPr>
          <t>KiB : kibibyte
https://en.wikipedia.org/wiki/Kibibyte</t>
        </r>
      </text>
    </comment>
    <comment ref="I27" authorId="0" shapeId="0" xr:uid="{02E9F1ED-7622-4601-8525-6701371A1D03}">
      <text>
        <r>
          <rPr>
            <b/>
            <sz val="9"/>
            <color indexed="81"/>
            <rFont val="Tahoma"/>
            <family val="2"/>
          </rPr>
          <t>KiB : mebibyte
https://en.wikipedia.org/wiki/Mebibyte</t>
        </r>
      </text>
    </comment>
    <comment ref="I28" authorId="0" shapeId="0" xr:uid="{D7D724B2-EBDD-4AC1-8DB1-E3F56F052446}">
      <text>
        <r>
          <rPr>
            <b/>
            <sz val="9"/>
            <color indexed="81"/>
            <rFont val="Tahoma"/>
            <family val="2"/>
          </rPr>
          <t>KiB : gibibyte
https://en.wikipedia.org/wiki/Gibibyte</t>
        </r>
      </text>
    </comment>
    <comment ref="B29" authorId="0" shapeId="0" xr:uid="{F332EF8C-6339-40F8-9C0A-56333874E162}">
      <text>
        <r>
          <rPr>
            <sz val="9"/>
            <color indexed="81"/>
            <rFont val="Tahoma"/>
            <family val="2"/>
          </rPr>
          <t>As shown in CloudWatch</t>
        </r>
      </text>
    </comment>
    <comment ref="I29" authorId="0" shapeId="0" xr:uid="{42AD9A63-CBFB-4A49-9B5B-C8F8CCA4701D}">
      <text>
        <r>
          <rPr>
            <b/>
            <sz val="9"/>
            <color indexed="81"/>
            <rFont val="Tahoma"/>
            <family val="2"/>
          </rPr>
          <t>KiB : tebibyte
https://en.wikipedia.org/wiki/Tebibyte</t>
        </r>
      </text>
    </comment>
  </commentList>
</comments>
</file>

<file path=xl/sharedStrings.xml><?xml version="1.0" encoding="utf-8"?>
<sst xmlns="http://schemas.openxmlformats.org/spreadsheetml/2006/main" count="470" uniqueCount="262">
  <si>
    <t>GiB/hour</t>
  </si>
  <si>
    <t>GiB/day</t>
  </si>
  <si>
    <t>GiB/month</t>
  </si>
  <si>
    <t>MiB/s</t>
  </si>
  <si>
    <t>GiB/week</t>
  </si>
  <si>
    <t>MB/s</t>
  </si>
  <si>
    <t>GB/hour</t>
  </si>
  <si>
    <t>GB/day</t>
  </si>
  <si>
    <t>GB/week</t>
  </si>
  <si>
    <t>GB/month</t>
  </si>
  <si>
    <t>Gbit/s</t>
  </si>
  <si>
    <t>Mbit/s</t>
  </si>
  <si>
    <t>GiB/s</t>
  </si>
  <si>
    <t>TiB/hour</t>
  </si>
  <si>
    <t>TiB/day</t>
  </si>
  <si>
    <t>TiB/week</t>
  </si>
  <si>
    <t>TiB/month</t>
  </si>
  <si>
    <t>GB/s</t>
  </si>
  <si>
    <t>MiB &amp; GiB</t>
  </si>
  <si>
    <t>MB &amp; GB</t>
  </si>
  <si>
    <t>GiB &amp; TiB</t>
  </si>
  <si>
    <t>GB &amp; TB</t>
  </si>
  <si>
    <t>GB/min</t>
  </si>
  <si>
    <t>Network overhead:</t>
  </si>
  <si>
    <t>IOPS:</t>
  </si>
  <si>
    <t>TB/hour</t>
  </si>
  <si>
    <t>TB/day</t>
  </si>
  <si>
    <t>TB/week</t>
  </si>
  <si>
    <t>TB/month</t>
  </si>
  <si>
    <t>Sony HD</t>
  </si>
  <si>
    <t>StableFPS FHD</t>
  </si>
  <si>
    <t>H.264</t>
  </si>
  <si>
    <t>StableFPS 4K</t>
  </si>
  <si>
    <t>H.265</t>
  </si>
  <si>
    <t>I/O operations/s</t>
  </si>
  <si>
    <t>kB/KiB</t>
  </si>
  <si>
    <t>MB/MiB</t>
  </si>
  <si>
    <t>GB/GiB</t>
  </si>
  <si>
    <t>TB/TiB</t>
  </si>
  <si>
    <t>Retention:</t>
  </si>
  <si>
    <t>Hours</t>
  </si>
  <si>
    <t>1 camera:</t>
  </si>
  <si>
    <t>Cameras:</t>
  </si>
  <si>
    <t>per camera</t>
  </si>
  <si>
    <t>%</t>
  </si>
  <si>
    <t>Instance
Type</t>
  </si>
  <si>
    <t>Mbps</t>
  </si>
  <si>
    <t>EBS</t>
  </si>
  <si>
    <t>$/week</t>
  </si>
  <si>
    <t>GiB</t>
  </si>
  <si>
    <t>t3.medium</t>
  </si>
  <si>
    <t>t3.large</t>
  </si>
  <si>
    <t>c5.large</t>
  </si>
  <si>
    <t>c5.xlarge</t>
  </si>
  <si>
    <t>c5.2xlarge</t>
  </si>
  <si>
    <t>g4dn.4xlarge</t>
  </si>
  <si>
    <t>g4dn.xlarge</t>
  </si>
  <si>
    <t>g4dn.2xlarge</t>
  </si>
  <si>
    <t>VPN</t>
  </si>
  <si>
    <t>VPN data</t>
  </si>
  <si>
    <t>EC2</t>
  </si>
  <si>
    <t>Storage</t>
  </si>
  <si>
    <t>Total</t>
  </si>
  <si>
    <t>Recording:</t>
  </si>
  <si>
    <t>$/year</t>
  </si>
  <si>
    <t>$/day/camera</t>
  </si>
  <si>
    <t>VPC data</t>
  </si>
  <si>
    <t>T-GW-VPN</t>
  </si>
  <si>
    <t>T-GW-VPC</t>
  </si>
  <si>
    <t>of received</t>
  </si>
  <si>
    <t>of recorded</t>
  </si>
  <si>
    <t>$/year/camera</t>
  </si>
  <si>
    <t>site-&gt;VPC</t>
  </si>
  <si>
    <t>VPC-&gt;site</t>
  </si>
  <si>
    <t>Live-view:</t>
  </si>
  <si>
    <t>Playback:</t>
  </si>
  <si>
    <t>Archiving:</t>
  </si>
  <si>
    <t>Calculated AWS Cost (w. transit-GW)</t>
  </si>
  <si>
    <t>Cameras Recording Percentage</t>
  </si>
  <si>
    <t>Cameras</t>
  </si>
  <si>
    <t>Camera count at 100% archiving</t>
  </si>
  <si>
    <t>without archiving</t>
  </si>
  <si>
    <t>Simple Storage Service (buckets)</t>
  </si>
  <si>
    <t xml:space="preserve">EC2 : </t>
  </si>
  <si>
    <t xml:space="preserve">S3 : </t>
  </si>
  <si>
    <t>Elastic Block Store (SSD)</t>
  </si>
  <si>
    <t xml:space="preserve">EBS : </t>
  </si>
  <si>
    <t>Elastic Compute Cloud (VMs)</t>
  </si>
  <si>
    <t>EC2 instance</t>
  </si>
  <si>
    <t>TiB</t>
  </si>
  <si>
    <t>Live storage:</t>
  </si>
  <si>
    <t>Arc. storage:</t>
  </si>
  <si>
    <t>FSx for Windows File Server (SSD or HDD)</t>
  </si>
  <si>
    <t>S-GW cache:</t>
  </si>
  <si>
    <t xml:space="preserve">FSx : </t>
  </si>
  <si>
    <t>Region</t>
  </si>
  <si>
    <t>Single-AZ</t>
  </si>
  <si>
    <t>Multi-AZ</t>
  </si>
  <si>
    <t>Throughput</t>
  </si>
  <si>
    <t>MBps-months</t>
  </si>
  <si>
    <t>Throughput Selections</t>
  </si>
  <si>
    <t>Number of cameras</t>
  </si>
  <si>
    <t>Size of recorded video stream</t>
  </si>
  <si>
    <t>Degree of recording</t>
  </si>
  <si>
    <t xml:space="preserve">VMS Usage </t>
  </si>
  <si>
    <t>Number of operators</t>
  </si>
  <si>
    <t>Enter how many operators that will use the system via the XProtect Smart Client</t>
  </si>
  <si>
    <t>Average number of viewed cameras</t>
  </si>
  <si>
    <t>Operator(s)</t>
  </si>
  <si>
    <t>Retention time</t>
  </si>
  <si>
    <t>Client access</t>
  </si>
  <si>
    <t>Select the type of client access that you are planning to use.</t>
  </si>
  <si>
    <t>Days</t>
  </si>
  <si>
    <t>Weeks</t>
  </si>
  <si>
    <t>Months</t>
  </si>
  <si>
    <t>Select unit</t>
  </si>
  <si>
    <t>Selected:</t>
  </si>
  <si>
    <t>Number of streams</t>
  </si>
  <si>
    <t>Select number of video streams</t>
  </si>
  <si>
    <t>Select client access</t>
  </si>
  <si>
    <t>Smart Client</t>
  </si>
  <si>
    <t>Smart Client in AppStream 2.0</t>
  </si>
  <si>
    <t>EC2 Instance type</t>
  </si>
  <si>
    <t>EBS for VMS configuration database</t>
  </si>
  <si>
    <t>EBS for live media database</t>
  </si>
  <si>
    <t>FSx for media archive</t>
  </si>
  <si>
    <t>Select degree of recording</t>
  </si>
  <si>
    <t>USD</t>
  </si>
  <si>
    <t>VPC egress data</t>
  </si>
  <si>
    <t>FSx storage</t>
  </si>
  <si>
    <t>Select FSx deployment</t>
  </si>
  <si>
    <t>Single-AZ deployment</t>
  </si>
  <si>
    <t>Multi-AZ deployment</t>
  </si>
  <si>
    <t>Pricing</t>
  </si>
  <si>
    <t>AWS Region</t>
  </si>
  <si>
    <t>Select Region</t>
  </si>
  <si>
    <t>US East (N. Virginia)</t>
  </si>
  <si>
    <t>Europe (Irland)</t>
  </si>
  <si>
    <t>EC2 payment plan</t>
  </si>
  <si>
    <t>Select payment plan for EC2</t>
  </si>
  <si>
    <t>Select payment plan</t>
  </si>
  <si>
    <t>On-demand</t>
  </si>
  <si>
    <t>RI Standard 3-year term, no upfront payment</t>
  </si>
  <si>
    <t>Cost per month</t>
  </si>
  <si>
    <t>Instance Type</t>
  </si>
  <si>
    <t>AppStream 2.0</t>
  </si>
  <si>
    <t>Read column</t>
  </si>
  <si>
    <t>Conversion</t>
  </si>
  <si>
    <t>Time factor</t>
  </si>
  <si>
    <t>Site-to-Site VPN</t>
  </si>
  <si>
    <t>Egress</t>
  </si>
  <si>
    <t>VPN Connection</t>
  </si>
  <si>
    <t>AppStream_User</t>
  </si>
  <si>
    <t>Average daily usage time per operator</t>
  </si>
  <si>
    <t>Select region for deployment</t>
  </si>
  <si>
    <t>Data per viewing hour</t>
  </si>
  <si>
    <t>GB/h</t>
  </si>
  <si>
    <t>Including communication overhead 8%</t>
  </si>
  <si>
    <t>Total egress price</t>
  </si>
  <si>
    <t>USD/month</t>
  </si>
  <si>
    <t>Transmitted data per month</t>
  </si>
  <si>
    <t>Mbit/View/s</t>
  </si>
  <si>
    <t>SC</t>
  </si>
  <si>
    <t>Adaptive Streaming</t>
  </si>
  <si>
    <t>Reduction</t>
  </si>
  <si>
    <t>Data  per camera view</t>
  </si>
  <si>
    <t>-</t>
  </si>
  <si>
    <t>No access</t>
  </si>
  <si>
    <t>Instance</t>
  </si>
  <si>
    <t>stream.graphics.g4dn.xlarge</t>
  </si>
  <si>
    <t>stream.graphics.g4dn.4xlarge</t>
  </si>
  <si>
    <t>AppStream instance type</t>
  </si>
  <si>
    <t>Streaming hours</t>
  </si>
  <si>
    <t>Streaming costs</t>
  </si>
  <si>
    <t>GBps</t>
  </si>
  <si>
    <t>FSx Throughput price</t>
  </si>
  <si>
    <t>EC2 - Compute</t>
  </si>
  <si>
    <t>EBS -Storage</t>
  </si>
  <si>
    <t>FSx -Storage</t>
  </si>
  <si>
    <t>Multi Availability Zone archiving</t>
  </si>
  <si>
    <t>Select if FSx video archive shall be single or multi availability zone deployment</t>
  </si>
  <si>
    <t>Select the number of cameras that best matches the expected number of cameras each operator will view at the same time.</t>
  </si>
  <si>
    <t>Total monthly cost:</t>
  </si>
  <si>
    <t xml:space="preserve">Price calculator for deploying Milestone XProtect BYOL on AWS </t>
  </si>
  <si>
    <t>VMS Dimensioning Parameters</t>
  </si>
  <si>
    <t>Enter how many cameras you plan to connect to your XProtect VMS system</t>
  </si>
  <si>
    <t>Enter the assumed average size of the H.264 video stream used for recording</t>
  </si>
  <si>
    <t>Select the % recoding you expect the system to do. Select the closed value</t>
  </si>
  <si>
    <t>Specify how long time you plan to retain video recordings for</t>
  </si>
  <si>
    <t>Total yearly cost:</t>
  </si>
  <si>
    <t>Monthly cost per camera</t>
  </si>
  <si>
    <t>Yearly cost per camera</t>
  </si>
  <si>
    <t>Time in Media DB</t>
  </si>
  <si>
    <t>IOPS</t>
  </si>
  <si>
    <t>Archive Margine</t>
  </si>
  <si>
    <t>Media DB</t>
  </si>
  <si>
    <t>Archive</t>
  </si>
  <si>
    <t>Media Database</t>
  </si>
  <si>
    <t>Media Archive</t>
  </si>
  <si>
    <t>GiB EBS (gp2) storage</t>
  </si>
  <si>
    <t>TiB FSx storage</t>
  </si>
  <si>
    <t>EBS for media database</t>
  </si>
  <si>
    <t>Customized storage sizes</t>
  </si>
  <si>
    <t>Specify desired size of media database (EBS gp2) storage</t>
  </si>
  <si>
    <t>Specify desired size of media archive (FSX) storage</t>
  </si>
  <si>
    <t>Media_Database</t>
  </si>
  <si>
    <t>Connectivity</t>
  </si>
  <si>
    <t xml:space="preserve">Uplink </t>
  </si>
  <si>
    <t xml:space="preserve">Downlink </t>
  </si>
  <si>
    <t>Downlink</t>
  </si>
  <si>
    <t>Client Access</t>
  </si>
  <si>
    <t>Gbps</t>
  </si>
  <si>
    <t>Number of sites</t>
  </si>
  <si>
    <t>Site(s)</t>
  </si>
  <si>
    <t>Outbound Data Transfer</t>
  </si>
  <si>
    <t>Enter how many sites that are to be connected to the XProtect VMS system</t>
  </si>
  <si>
    <t>For complete pricing information on AWS service please refer to www.aws.com.</t>
  </si>
  <si>
    <t>Calculated storage needs</t>
  </si>
  <si>
    <t>Based on the provided VMS dimensioning  parameters the following storage will as minimum be required:</t>
  </si>
  <si>
    <t xml:space="preserve">Do you want to proceed with the calculated storage sizes or do you want to provide customer specific sizes? </t>
  </si>
  <si>
    <t>Data throughput</t>
  </si>
  <si>
    <t>Based on the provided VMS dimensioning  parameters the following network throughput will be generated:</t>
  </si>
  <si>
    <t>Smart Client with Adaptive Streaming</t>
  </si>
  <si>
    <t>Single-AZ_Throughput</t>
  </si>
  <si>
    <t>Multi-AZ_Throughput</t>
  </si>
  <si>
    <t>Europe (Ireland)</t>
  </si>
  <si>
    <t>Retention Unit</t>
  </si>
  <si>
    <t>Write throughput</t>
  </si>
  <si>
    <t>Total throughput</t>
  </si>
  <si>
    <t>Allocated throughput</t>
  </si>
  <si>
    <t>Number of attachments</t>
  </si>
  <si>
    <t>Downlink throughput (worse case)</t>
  </si>
  <si>
    <t>Data Transfer Out - Networking</t>
  </si>
  <si>
    <t>Form Check</t>
  </si>
  <si>
    <t>EC2 Paument</t>
  </si>
  <si>
    <t>Number of Cameras</t>
  </si>
  <si>
    <t>Stream Size</t>
  </si>
  <si>
    <t>Degree of Recording</t>
  </si>
  <si>
    <t>Retention Time</t>
  </si>
  <si>
    <t>FSx AZ</t>
  </si>
  <si>
    <t>No_Operators</t>
  </si>
  <si>
    <t>Daily Usage</t>
  </si>
  <si>
    <t>No of Streams</t>
  </si>
  <si>
    <t>No_Sites</t>
  </si>
  <si>
    <t>All input data provided</t>
  </si>
  <si>
    <t xml:space="preserve">Enter how many hours you expect each operator will view video from the VMS system on average. </t>
  </si>
  <si>
    <t>Enter how many hours you expect each operator will view video from the VMS system on average. This may be both live viewing and playback. Streams assumed to be H.264 with 1080p resolution (4 Mbps) and 30 frames per second.</t>
  </si>
  <si>
    <t>Select the degree of recoding you expect the system to do.</t>
  </si>
  <si>
    <t>Site-to-Site - Networking</t>
  </si>
  <si>
    <t>This AWS service calculator is provided as is, and it is only intended to give an indicative service usage and cost estimation for running Milestone XProtect on AWS. Milestone Systems does not accept any direct or indirect liability for the results provided by this calculator, including suggested AWS service configuration and AWS Service price information.</t>
  </si>
  <si>
    <t>Storage input provided</t>
  </si>
  <si>
    <t>Customer Media DB</t>
  </si>
  <si>
    <t>Customer Archive</t>
  </si>
  <si>
    <t>Error Message</t>
  </si>
  <si>
    <t>10% Recording</t>
  </si>
  <si>
    <t>25% Recording</t>
  </si>
  <si>
    <t>50% Recording</t>
  </si>
  <si>
    <t>100% Recording</t>
  </si>
  <si>
    <t>Weighted number of cameras</t>
  </si>
  <si>
    <t>EC2 Instance</t>
  </si>
  <si>
    <t>No Match</t>
  </si>
  <si>
    <t>EC2 input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</si>
</sst>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_-;\-* #,##0.0_-;_-* &quot;-&quot;??_-;_-@_-"/>
    <numFmt numFmtId="165" formatCode="_-* #,##0_-;\-* #,##0_-;_-* &quot;-&quot;??_-;_-@_-"/>
    <numFmt numFmtId="166" formatCode="_-* #,##0.0000_-;\-* #,##0.0000_-;_-* &quot;-&quot;??_-;_-@_-"/>
    <numFmt numFmtId="167" formatCode="0.0"/>
    <numFmt numFmtId="168" formatCode="0.000"/>
    <numFmt numFmtId="169" formatCode="0.0%"/>
    <numFmt numFmtId="170" formatCode="_-* #,##0.00\ _k_r_._-;\-* #,##0.00\ _k_r_._-;_-* &quot;-&quot;??\ _k_r_._-;_-@_-"/>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amily val="2"/>
    </font>
    <font>
      <b/>
      <sz val="9"/>
      <color indexed="81"/>
      <name val="Tahoma"/>
      <family val="2"/>
    </font>
    <font>
      <sz val="9"/>
      <color theme="1"/>
      <name val="Calibri"/>
      <family val="2"/>
      <scheme val="minor"/>
    </font>
    <font>
      <sz val="11"/>
      <name val="Calibri"/>
      <family val="2"/>
      <scheme val="minor"/>
    </font>
    <font>
      <sz val="11"/>
      <color theme="0" tint="-0.249977111117893"/>
      <name val="Calibri"/>
      <family val="2"/>
      <scheme val="minor"/>
    </font>
    <font>
      <sz val="11"/>
      <color theme="1"/>
      <name val="Open Sans"/>
      <family val="2"/>
    </font>
    <font>
      <b/>
      <sz val="11"/>
      <color theme="1"/>
      <name val="Open Sans"/>
      <family val="2"/>
    </font>
    <font>
      <sz val="10"/>
      <color theme="1"/>
      <name val="Open Sans"/>
      <family val="2"/>
    </font>
    <font>
      <sz val="9"/>
      <color theme="1"/>
      <name val="Open Sans"/>
      <family val="2"/>
    </font>
    <font>
      <b/>
      <sz val="14"/>
      <color theme="1"/>
      <name val="Open Sans Light"/>
      <family val="2"/>
    </font>
    <font>
      <b/>
      <sz val="9"/>
      <color theme="1"/>
      <name val="Open Sans"/>
      <family val="2"/>
    </font>
    <font>
      <b/>
      <sz val="8"/>
      <color theme="1"/>
      <name val="Open Sans"/>
      <family val="2"/>
    </font>
    <font>
      <sz val="8"/>
      <color theme="1" tint="0.499984740745262"/>
      <name val="Open Sans"/>
      <family val="2"/>
    </font>
    <font>
      <sz val="8"/>
      <color rgb="FF000000"/>
      <name val="Segoe UI"/>
      <family val="2"/>
    </font>
    <font>
      <sz val="8"/>
      <color theme="1"/>
      <name val="Open Sans"/>
      <family val="2"/>
    </font>
    <font>
      <i/>
      <sz val="8"/>
      <color theme="1"/>
      <name val="Open Sans"/>
      <family val="2"/>
    </font>
    <font>
      <sz val="11"/>
      <color theme="4"/>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theme="9" tint="0.79998168889431442"/>
      </patternFill>
    </fill>
    <fill>
      <patternFill patternType="solid">
        <fgColor theme="9"/>
        <bgColor theme="9"/>
      </patternFill>
    </fill>
    <fill>
      <patternFill patternType="solid">
        <fgColor rgb="FFFFFF00"/>
        <bgColor theme="9"/>
      </patternFill>
    </fill>
    <fill>
      <patternFill patternType="solid">
        <fgColor them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theme="9" tint="0.39997558519241921"/>
      </right>
      <top style="thin">
        <color theme="9" tint="0.39997558519241921"/>
      </top>
      <bottom style="thin">
        <color theme="9"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9" tint="0.39997558519241921"/>
      </right>
      <top style="thin">
        <color theme="9" tint="0.39997558519241921"/>
      </top>
      <bottom/>
      <diagonal/>
    </border>
    <border>
      <left style="thin">
        <color theme="9" tint="0.39997558519241921"/>
      </left>
      <right/>
      <top style="thin">
        <color theme="9" tint="0.39997558519241921"/>
      </top>
      <bottom style="thin">
        <color theme="9" tint="0.39997558519241921"/>
      </bottom>
      <diagonal/>
    </border>
    <border>
      <left/>
      <right style="thin">
        <color indexed="64"/>
      </right>
      <top/>
      <bottom style="thin">
        <color theme="9" tint="0.39997558519241921"/>
      </bottom>
      <diagonal/>
    </border>
    <border>
      <left/>
      <right/>
      <top style="thin">
        <color indexed="64"/>
      </top>
      <bottom/>
      <diagonal/>
    </border>
    <border>
      <left/>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bottom/>
      <diagonal/>
    </border>
    <border>
      <left/>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1"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style="thin">
        <color theme="1" tint="0.34998626667073579"/>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right/>
      <top/>
      <bottom style="thin">
        <color theme="9" tint="0.39997558519241921"/>
      </bottom>
      <diagonal/>
    </border>
  </borders>
  <cellStyleXfs count="4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81">
    <xf numFmtId="0" fontId="0" fillId="0" borderId="0" xfId="0"/>
    <xf numFmtId="0" fontId="16" fillId="0" borderId="0" xfId="0" applyFont="1"/>
    <xf numFmtId="43" fontId="0" fillId="0" borderId="0" xfId="1" applyFont="1"/>
    <xf numFmtId="165" fontId="0" fillId="0" borderId="0" xfId="1" applyNumberFormat="1" applyFont="1"/>
    <xf numFmtId="0" fontId="0" fillId="0" borderId="11" xfId="0" applyBorder="1"/>
    <xf numFmtId="164" fontId="0" fillId="0" borderId="12" xfId="1" applyNumberFormat="1" applyFont="1" applyBorder="1"/>
    <xf numFmtId="0" fontId="0" fillId="0" borderId="13" xfId="0" applyBorder="1"/>
    <xf numFmtId="165" fontId="0" fillId="0" borderId="12" xfId="1" applyNumberFormat="1" applyFont="1" applyBorder="1"/>
    <xf numFmtId="165" fontId="0" fillId="0" borderId="14" xfId="1" applyNumberFormat="1" applyFont="1" applyBorder="1"/>
    <xf numFmtId="0" fontId="0" fillId="0" borderId="15" xfId="0" applyBorder="1"/>
    <xf numFmtId="164" fontId="0" fillId="0" borderId="10" xfId="1" applyNumberFormat="1" applyFont="1" applyBorder="1"/>
    <xf numFmtId="166" fontId="0" fillId="0" borderId="0" xfId="1" applyNumberFormat="1" applyFont="1"/>
    <xf numFmtId="164" fontId="0" fillId="0" borderId="14" xfId="1" applyNumberFormat="1" applyFont="1" applyBorder="1"/>
    <xf numFmtId="0" fontId="0" fillId="0" borderId="0" xfId="0" applyFill="1" applyBorder="1"/>
    <xf numFmtId="165" fontId="0" fillId="0" borderId="0" xfId="1" applyNumberFormat="1" applyFont="1" applyBorder="1"/>
    <xf numFmtId="0" fontId="0" fillId="0" borderId="0" xfId="0" applyBorder="1"/>
    <xf numFmtId="9" fontId="0" fillId="33" borderId="0" xfId="2" applyFont="1" applyFill="1"/>
    <xf numFmtId="164" fontId="0" fillId="0" borderId="0" xfId="1" applyNumberFormat="1" applyFont="1" applyBorder="1"/>
    <xf numFmtId="43" fontId="0" fillId="0" borderId="0" xfId="1" applyNumberFormat="1" applyFont="1" applyBorder="1"/>
    <xf numFmtId="0" fontId="0" fillId="0" borderId="15" xfId="0" applyFill="1" applyBorder="1"/>
    <xf numFmtId="0" fontId="0" fillId="0" borderId="10" xfId="0" applyBorder="1"/>
    <xf numFmtId="0" fontId="0" fillId="0" borderId="12" xfId="0" applyBorder="1"/>
    <xf numFmtId="0" fontId="0" fillId="0" borderId="14" xfId="0" applyBorder="1"/>
    <xf numFmtId="0" fontId="16" fillId="0" borderId="0" xfId="0" applyFont="1" applyAlignment="1">
      <alignment horizontal="center"/>
    </xf>
    <xf numFmtId="165" fontId="0" fillId="0" borderId="0" xfId="0" applyNumberFormat="1"/>
    <xf numFmtId="9" fontId="0" fillId="0" borderId="0" xfId="0" applyNumberFormat="1"/>
    <xf numFmtId="9" fontId="0" fillId="0" borderId="0" xfId="2" applyFont="1"/>
    <xf numFmtId="0" fontId="0" fillId="0" borderId="0" xfId="0" applyAlignment="1">
      <alignment horizontal="center"/>
    </xf>
    <xf numFmtId="167" fontId="0" fillId="0" borderId="0" xfId="0" applyNumberFormat="1"/>
    <xf numFmtId="43" fontId="16" fillId="0" borderId="22" xfId="1" applyFont="1" applyBorder="1"/>
    <xf numFmtId="0" fontId="0" fillId="0" borderId="23" xfId="0" applyBorder="1"/>
    <xf numFmtId="0" fontId="0" fillId="0" borderId="24" xfId="0" applyBorder="1"/>
    <xf numFmtId="165" fontId="0" fillId="0" borderId="25" xfId="1" applyNumberFormat="1" applyFont="1" applyBorder="1"/>
    <xf numFmtId="43" fontId="0" fillId="0" borderId="23" xfId="1" applyFont="1" applyBorder="1"/>
    <xf numFmtId="165" fontId="0" fillId="0" borderId="23" xfId="0" applyNumberFormat="1" applyBorder="1"/>
    <xf numFmtId="43" fontId="0" fillId="0" borderId="0" xfId="0" applyNumberFormat="1"/>
    <xf numFmtId="43" fontId="16" fillId="0" borderId="0" xfId="1" applyFont="1" applyAlignment="1">
      <alignment horizontal="right"/>
    </xf>
    <xf numFmtId="165" fontId="0" fillId="34" borderId="21" xfId="1" applyNumberFormat="1" applyFont="1" applyFill="1" applyBorder="1"/>
    <xf numFmtId="0" fontId="20" fillId="0" borderId="0" xfId="0" applyFont="1" applyAlignment="1">
      <alignment horizontal="center" vertical="center"/>
    </xf>
    <xf numFmtId="168" fontId="0" fillId="0" borderId="10" xfId="0" applyNumberFormat="1" applyBorder="1"/>
    <xf numFmtId="168" fontId="0" fillId="0" borderId="12" xfId="0" applyNumberFormat="1" applyBorder="1"/>
    <xf numFmtId="168" fontId="0" fillId="0" borderId="14" xfId="0" applyNumberFormat="1" applyBorder="1"/>
    <xf numFmtId="43" fontId="0" fillId="0" borderId="0" xfId="1" applyFont="1" applyAlignment="1">
      <alignment horizontal="left"/>
    </xf>
    <xf numFmtId="0" fontId="0" fillId="0" borderId="26" xfId="0" applyFont="1" applyBorder="1"/>
    <xf numFmtId="0" fontId="0" fillId="35" borderId="26" xfId="0" applyFont="1" applyFill="1" applyBorder="1"/>
    <xf numFmtId="165" fontId="0" fillId="34" borderId="0" xfId="1" applyNumberFormat="1" applyFont="1" applyFill="1"/>
    <xf numFmtId="0" fontId="13" fillId="38" borderId="20" xfId="0" applyFont="1" applyFill="1" applyBorder="1" applyAlignment="1">
      <alignment horizontal="center" wrapText="1"/>
    </xf>
    <xf numFmtId="165" fontId="0" fillId="33" borderId="0" xfId="1" applyNumberFormat="1" applyFont="1" applyFill="1" applyProtection="1">
      <protection locked="0"/>
    </xf>
    <xf numFmtId="43" fontId="0" fillId="33" borderId="0" xfId="1" applyNumberFormat="1" applyFont="1" applyFill="1" applyProtection="1">
      <protection locked="0"/>
    </xf>
    <xf numFmtId="9" fontId="0" fillId="33" borderId="18" xfId="0" applyNumberFormat="1" applyFill="1" applyBorder="1" applyProtection="1">
      <protection locked="0"/>
    </xf>
    <xf numFmtId="165" fontId="0" fillId="33" borderId="19" xfId="1" applyNumberFormat="1" applyFont="1" applyFill="1" applyBorder="1" applyProtection="1">
      <protection locked="0"/>
    </xf>
    <xf numFmtId="9" fontId="0" fillId="33" borderId="0" xfId="0" applyNumberFormat="1" applyFill="1" applyProtection="1">
      <protection locked="0"/>
    </xf>
    <xf numFmtId="9" fontId="13" fillId="38" borderId="20" xfId="2" applyFont="1" applyFill="1" applyBorder="1" applyAlignment="1">
      <alignment horizontal="center" wrapText="1"/>
    </xf>
    <xf numFmtId="9" fontId="21" fillId="37" borderId="20" xfId="2" applyFont="1" applyFill="1" applyBorder="1" applyAlignment="1" applyProtection="1">
      <alignment horizontal="center" vertical="center" wrapText="1"/>
      <protection locked="0"/>
    </xf>
    <xf numFmtId="9" fontId="21" fillId="37" borderId="20" xfId="2" applyFont="1" applyFill="1" applyBorder="1" applyAlignment="1" applyProtection="1">
      <alignment horizontal="center" vertical="center" wrapText="1"/>
    </xf>
    <xf numFmtId="0" fontId="16" fillId="0" borderId="0" xfId="0" applyFont="1" applyAlignment="1">
      <alignment horizontal="right"/>
    </xf>
    <xf numFmtId="0" fontId="16" fillId="0" borderId="0" xfId="0" applyFont="1" applyFill="1" applyBorder="1" applyAlignment="1">
      <alignment horizontal="right"/>
    </xf>
    <xf numFmtId="0" fontId="22" fillId="0" borderId="26" xfId="0" applyFont="1" applyBorder="1"/>
    <xf numFmtId="0" fontId="22" fillId="35" borderId="26" xfId="0" applyFont="1" applyFill="1" applyBorder="1"/>
    <xf numFmtId="43" fontId="0" fillId="0" borderId="10" xfId="1" applyFont="1" applyBorder="1" applyAlignment="1">
      <alignment horizontal="right"/>
    </xf>
    <xf numFmtId="164" fontId="0" fillId="0" borderId="28" xfId="1" applyNumberFormat="1" applyFont="1" applyFill="1" applyBorder="1"/>
    <xf numFmtId="0" fontId="0" fillId="0" borderId="28" xfId="0" applyBorder="1"/>
    <xf numFmtId="43" fontId="0" fillId="0" borderId="12" xfId="1" applyFont="1" applyBorder="1" applyAlignment="1">
      <alignment horizontal="right"/>
    </xf>
    <xf numFmtId="43" fontId="0" fillId="0" borderId="14" xfId="1" applyFont="1" applyBorder="1" applyAlignment="1">
      <alignment horizontal="right"/>
    </xf>
    <xf numFmtId="0" fontId="0" fillId="0" borderId="29" xfId="0" applyBorder="1"/>
    <xf numFmtId="165" fontId="0" fillId="0" borderId="29" xfId="1" applyNumberFormat="1" applyFont="1" applyBorder="1"/>
    <xf numFmtId="0" fontId="0" fillId="0" borderId="15" xfId="0" quotePrefix="1" applyFill="1" applyBorder="1"/>
    <xf numFmtId="9" fontId="0" fillId="33" borderId="13" xfId="0" applyNumberFormat="1" applyFill="1" applyBorder="1" applyProtection="1">
      <protection locked="0"/>
    </xf>
    <xf numFmtId="0" fontId="26" fillId="0" borderId="0" xfId="0" applyFont="1"/>
    <xf numFmtId="0" fontId="0" fillId="40" borderId="0" xfId="0" applyFill="1"/>
    <xf numFmtId="0" fontId="0" fillId="0" borderId="0" xfId="0" applyAlignment="1">
      <alignment horizontal="right"/>
    </xf>
    <xf numFmtId="0" fontId="26" fillId="41" borderId="0" xfId="0" applyFont="1" applyFill="1" applyBorder="1" applyAlignment="1">
      <alignment vertical="top"/>
    </xf>
    <xf numFmtId="0" fontId="0" fillId="0" borderId="0" xfId="0" applyAlignment="1">
      <alignment horizontal="left"/>
    </xf>
    <xf numFmtId="0" fontId="26" fillId="40" borderId="0" xfId="0" applyFont="1" applyFill="1"/>
    <xf numFmtId="0" fontId="28" fillId="40" borderId="0" xfId="0" applyFont="1" applyFill="1"/>
    <xf numFmtId="0" fontId="26" fillId="41" borderId="0" xfId="0" applyFont="1" applyFill="1" applyBorder="1" applyAlignment="1">
      <alignment horizontal="left" vertical="center"/>
    </xf>
    <xf numFmtId="43" fontId="26" fillId="40" borderId="0" xfId="1" applyFont="1" applyFill="1"/>
    <xf numFmtId="43" fontId="0" fillId="40" borderId="0" xfId="1" applyFont="1" applyFill="1"/>
    <xf numFmtId="169" fontId="0" fillId="0" borderId="0" xfId="2" applyNumberFormat="1" applyFont="1"/>
    <xf numFmtId="10" fontId="0" fillId="0" borderId="0" xfId="2" applyNumberFormat="1" applyFont="1"/>
    <xf numFmtId="43" fontId="0" fillId="40" borderId="0" xfId="0" applyNumberFormat="1" applyFont="1" applyFill="1"/>
    <xf numFmtId="170" fontId="0" fillId="0" borderId="0" xfId="0" applyNumberFormat="1"/>
    <xf numFmtId="0" fontId="26" fillId="41" borderId="0" xfId="0" applyFont="1" applyFill="1" applyBorder="1" applyAlignment="1">
      <alignment horizontal="left" vertical="center"/>
    </xf>
    <xf numFmtId="164" fontId="0" fillId="0" borderId="29" xfId="1" applyNumberFormat="1" applyFont="1" applyBorder="1"/>
    <xf numFmtId="9" fontId="0" fillId="33" borderId="0" xfId="2" applyFont="1" applyFill="1" applyBorder="1" applyProtection="1">
      <protection locked="0"/>
    </xf>
    <xf numFmtId="164" fontId="0" fillId="0" borderId="15" xfId="1" applyNumberFormat="1" applyFont="1" applyBorder="1"/>
    <xf numFmtId="0" fontId="26" fillId="41" borderId="0" xfId="0" applyFont="1" applyFill="1" applyAlignment="1">
      <alignment vertical="top"/>
    </xf>
    <xf numFmtId="0" fontId="0" fillId="40" borderId="0" xfId="0" applyFill="1" applyProtection="1"/>
    <xf numFmtId="0" fontId="0" fillId="41" borderId="0" xfId="0" applyFill="1" applyProtection="1"/>
    <xf numFmtId="0" fontId="0" fillId="0" borderId="0" xfId="0" applyProtection="1"/>
    <xf numFmtId="0" fontId="27" fillId="40" borderId="0" xfId="0" applyFont="1" applyFill="1" applyProtection="1"/>
    <xf numFmtId="0" fontId="0" fillId="39" borderId="44" xfId="0" applyFill="1" applyBorder="1" applyAlignment="1" applyProtection="1">
      <alignment vertical="center"/>
    </xf>
    <xf numFmtId="0" fontId="24" fillId="39" borderId="45" xfId="0" applyFont="1" applyFill="1" applyBorder="1" applyAlignment="1" applyProtection="1">
      <alignment vertical="center"/>
    </xf>
    <xf numFmtId="0" fontId="0" fillId="39" borderId="45" xfId="0" applyFill="1" applyBorder="1" applyAlignment="1" applyProtection="1">
      <alignment vertical="center"/>
    </xf>
    <xf numFmtId="0" fontId="0" fillId="39" borderId="46" xfId="0" applyFill="1" applyBorder="1" applyAlignment="1" applyProtection="1">
      <alignment vertical="center"/>
    </xf>
    <xf numFmtId="0" fontId="0" fillId="41" borderId="47" xfId="0" applyFill="1" applyBorder="1" applyProtection="1"/>
    <xf numFmtId="0" fontId="0" fillId="41" borderId="0" xfId="0" applyFill="1" applyBorder="1" applyProtection="1"/>
    <xf numFmtId="0" fontId="0" fillId="41" borderId="48" xfId="0" applyFill="1" applyBorder="1" applyProtection="1"/>
    <xf numFmtId="0" fontId="25" fillId="41" borderId="0" xfId="0" applyFont="1" applyFill="1" applyBorder="1" applyProtection="1"/>
    <xf numFmtId="0" fontId="26" fillId="41" borderId="0" xfId="0" applyFont="1" applyFill="1" applyBorder="1" applyAlignment="1" applyProtection="1">
      <alignment vertical="top"/>
    </xf>
    <xf numFmtId="0" fontId="20" fillId="41" borderId="0" xfId="0" applyFont="1" applyFill="1" applyBorder="1" applyAlignment="1" applyProtection="1">
      <alignment vertical="top"/>
    </xf>
    <xf numFmtId="0" fontId="26" fillId="41" borderId="0" xfId="0" applyFont="1" applyFill="1" applyBorder="1" applyAlignment="1" applyProtection="1">
      <alignment horizontal="left" vertical="center"/>
    </xf>
    <xf numFmtId="0" fontId="0" fillId="41" borderId="50" xfId="0" applyFill="1" applyBorder="1" applyProtection="1"/>
    <xf numFmtId="0" fontId="0" fillId="41" borderId="51" xfId="0" applyFill="1" applyBorder="1" applyProtection="1"/>
    <xf numFmtId="0" fontId="0" fillId="41" borderId="52" xfId="0" applyFill="1" applyBorder="1" applyProtection="1"/>
    <xf numFmtId="0" fontId="0" fillId="41" borderId="49" xfId="0" applyFill="1" applyBorder="1" applyProtection="1"/>
    <xf numFmtId="0" fontId="0" fillId="41" borderId="32" xfId="0" applyFill="1" applyBorder="1" applyProtection="1"/>
    <xf numFmtId="0" fontId="26" fillId="41" borderId="0" xfId="0" applyFont="1" applyFill="1" applyAlignment="1" applyProtection="1">
      <alignment vertical="top"/>
    </xf>
    <xf numFmtId="0" fontId="26" fillId="41" borderId="0" xfId="0" applyFont="1" applyFill="1" applyBorder="1" applyProtection="1"/>
    <xf numFmtId="0" fontId="26" fillId="41" borderId="51" xfId="0" applyFont="1" applyFill="1" applyBorder="1" applyAlignment="1" applyProtection="1">
      <alignment horizontal="left" vertical="center"/>
    </xf>
    <xf numFmtId="0" fontId="0" fillId="41" borderId="51" xfId="0" applyFill="1" applyBorder="1" applyAlignment="1" applyProtection="1">
      <alignment horizontal="left"/>
    </xf>
    <xf numFmtId="0" fontId="0" fillId="39" borderId="35" xfId="0" applyFill="1" applyBorder="1" applyProtection="1"/>
    <xf numFmtId="0" fontId="24" fillId="39" borderId="36" xfId="0" applyFont="1" applyFill="1" applyBorder="1" applyAlignment="1" applyProtection="1">
      <alignment vertical="center"/>
    </xf>
    <xf numFmtId="0" fontId="24" fillId="39" borderId="36" xfId="0" applyFont="1" applyFill="1" applyBorder="1" applyProtection="1"/>
    <xf numFmtId="0" fontId="0" fillId="39" borderId="36" xfId="0" applyFill="1" applyBorder="1" applyProtection="1"/>
    <xf numFmtId="0" fontId="0" fillId="39" borderId="37" xfId="0" applyFill="1" applyBorder="1" applyProtection="1"/>
    <xf numFmtId="0" fontId="0" fillId="41" borderId="38" xfId="0" applyFill="1" applyBorder="1" applyProtection="1"/>
    <xf numFmtId="0" fontId="0" fillId="41" borderId="0" xfId="0" applyFill="1" applyBorder="1" applyAlignment="1" applyProtection="1">
      <alignment horizontal="left"/>
    </xf>
    <xf numFmtId="0" fontId="0" fillId="41" borderId="39" xfId="0" applyFill="1" applyBorder="1" applyProtection="1"/>
    <xf numFmtId="0" fontId="29" fillId="41" borderId="0" xfId="0" applyFont="1" applyFill="1" applyBorder="1" applyAlignment="1" applyProtection="1">
      <alignment horizontal="left" vertical="center"/>
    </xf>
    <xf numFmtId="165" fontId="29" fillId="41" borderId="0" xfId="1" applyNumberFormat="1" applyFont="1" applyFill="1" applyBorder="1" applyAlignment="1" applyProtection="1">
      <alignment horizontal="left" vertical="center"/>
    </xf>
    <xf numFmtId="0" fontId="28" fillId="41" borderId="0" xfId="0" applyFont="1" applyFill="1" applyBorder="1" applyAlignment="1" applyProtection="1">
      <alignment horizontal="left" vertical="center"/>
    </xf>
    <xf numFmtId="164" fontId="29" fillId="41" borderId="0" xfId="1" applyNumberFormat="1" applyFont="1" applyFill="1" applyBorder="1" applyAlignment="1" applyProtection="1">
      <alignment horizontal="left" vertical="center"/>
    </xf>
    <xf numFmtId="0" fontId="26" fillId="41" borderId="0" xfId="0" applyFont="1" applyFill="1" applyBorder="1" applyAlignment="1" applyProtection="1">
      <alignment horizontal="left"/>
    </xf>
    <xf numFmtId="0" fontId="0" fillId="41" borderId="41" xfId="0" applyFill="1" applyBorder="1" applyProtection="1"/>
    <xf numFmtId="0" fontId="0" fillId="41" borderId="42" xfId="0" applyFill="1" applyBorder="1" applyProtection="1"/>
    <xf numFmtId="0" fontId="0" fillId="41" borderId="43" xfId="0" applyFill="1" applyBorder="1" applyProtection="1"/>
    <xf numFmtId="0" fontId="23" fillId="41" borderId="0" xfId="0" applyFont="1" applyFill="1" applyBorder="1" applyProtection="1"/>
    <xf numFmtId="0" fontId="0" fillId="41" borderId="40" xfId="0" applyFill="1" applyBorder="1" applyProtection="1"/>
    <xf numFmtId="0" fontId="23" fillId="41" borderId="32" xfId="0" applyFont="1" applyFill="1" applyBorder="1" applyProtection="1"/>
    <xf numFmtId="0" fontId="26" fillId="41" borderId="39" xfId="0" applyFont="1" applyFill="1" applyBorder="1" applyAlignment="1" applyProtection="1">
      <alignment vertical="top" wrapText="1"/>
    </xf>
    <xf numFmtId="0" fontId="26" fillId="41" borderId="0" xfId="0" applyFont="1" applyFill="1" applyBorder="1" applyAlignment="1" applyProtection="1">
      <alignment vertical="center"/>
    </xf>
    <xf numFmtId="0" fontId="23" fillId="41" borderId="0" xfId="0" applyFont="1" applyFill="1" applyBorder="1" applyAlignment="1" applyProtection="1">
      <alignment horizontal="left" vertical="center"/>
    </xf>
    <xf numFmtId="43" fontId="29" fillId="41" borderId="0" xfId="1" applyFont="1" applyFill="1" applyBorder="1" applyAlignment="1" applyProtection="1">
      <alignment horizontal="left" vertical="center"/>
    </xf>
    <xf numFmtId="0" fontId="23" fillId="40" borderId="33" xfId="0" applyFont="1" applyFill="1" applyBorder="1" applyProtection="1"/>
    <xf numFmtId="0" fontId="0" fillId="40" borderId="33" xfId="0" applyFill="1" applyBorder="1" applyProtection="1"/>
    <xf numFmtId="0" fontId="32" fillId="40" borderId="0" xfId="0" applyFont="1" applyFill="1" applyBorder="1" applyProtection="1"/>
    <xf numFmtId="0" fontId="0" fillId="40" borderId="0" xfId="0" applyFill="1" applyBorder="1" applyProtection="1"/>
    <xf numFmtId="0" fontId="23" fillId="40" borderId="0" xfId="0" applyFont="1" applyFill="1" applyProtection="1"/>
    <xf numFmtId="0" fontId="28" fillId="40" borderId="0" xfId="0" applyFont="1" applyFill="1" applyProtection="1"/>
    <xf numFmtId="0" fontId="26" fillId="40" borderId="0" xfId="0" applyFont="1" applyFill="1" applyProtection="1"/>
    <xf numFmtId="43" fontId="26" fillId="40" borderId="0" xfId="1" applyFont="1" applyFill="1" applyProtection="1"/>
    <xf numFmtId="43" fontId="26" fillId="40" borderId="0" xfId="1" applyFont="1" applyFill="1" applyBorder="1" applyProtection="1"/>
    <xf numFmtId="0" fontId="26" fillId="40" borderId="0" xfId="0" applyFont="1" applyFill="1" applyBorder="1" applyProtection="1"/>
    <xf numFmtId="0" fontId="16" fillId="40" borderId="0" xfId="0" applyFont="1" applyFill="1" applyProtection="1"/>
    <xf numFmtId="43" fontId="28" fillId="40" borderId="0" xfId="1" applyFont="1" applyFill="1" applyProtection="1"/>
    <xf numFmtId="0" fontId="30" fillId="40" borderId="0" xfId="0" applyFont="1" applyFill="1" applyProtection="1"/>
    <xf numFmtId="0" fontId="33" fillId="40" borderId="0" xfId="0" applyFont="1" applyFill="1" applyBorder="1" applyProtection="1"/>
    <xf numFmtId="0" fontId="0" fillId="0" borderId="0" xfId="0" applyAlignment="1">
      <alignment horizontal="center"/>
    </xf>
    <xf numFmtId="0" fontId="26" fillId="41" borderId="0" xfId="0" applyFont="1" applyFill="1" applyBorder="1" applyAlignment="1" applyProtection="1">
      <alignment horizontal="left" vertical="center"/>
    </xf>
    <xf numFmtId="0" fontId="0" fillId="41" borderId="0" xfId="0" applyFill="1" applyBorder="1" applyAlignment="1" applyProtection="1">
      <alignment horizontal="left"/>
    </xf>
    <xf numFmtId="0" fontId="23" fillId="41" borderId="0" xfId="0" applyFont="1" applyFill="1" applyBorder="1" applyAlignment="1" applyProtection="1">
      <alignment horizontal="left" vertical="center"/>
    </xf>
    <xf numFmtId="0" fontId="26" fillId="41" borderId="0" xfId="0" applyFont="1" applyFill="1" applyBorder="1" applyAlignment="1" applyProtection="1">
      <alignment horizontal="left" vertical="top" wrapText="1"/>
    </xf>
    <xf numFmtId="0" fontId="26" fillId="41" borderId="30" xfId="0" applyFont="1" applyFill="1" applyBorder="1" applyAlignment="1" applyProtection="1">
      <alignment horizontal="left" vertical="center"/>
      <protection locked="0"/>
    </xf>
    <xf numFmtId="0" fontId="26" fillId="41" borderId="31" xfId="0" applyFont="1" applyFill="1" applyBorder="1" applyAlignment="1" applyProtection="1">
      <alignment horizontal="left" vertical="center"/>
      <protection locked="0"/>
    </xf>
    <xf numFmtId="0" fontId="26" fillId="41" borderId="34" xfId="0" applyFont="1" applyFill="1" applyBorder="1" applyAlignment="1" applyProtection="1">
      <alignment horizontal="left" vertical="center"/>
      <protection locked="0"/>
    </xf>
    <xf numFmtId="0" fontId="30" fillId="40" borderId="0" xfId="0" applyFont="1" applyFill="1" applyAlignment="1" applyProtection="1">
      <alignment horizontal="left" vertical="top" wrapText="1"/>
    </xf>
    <xf numFmtId="0" fontId="26" fillId="41" borderId="22" xfId="0" applyFont="1" applyFill="1" applyBorder="1" applyAlignment="1" applyProtection="1">
      <alignment horizontal="left" vertical="center"/>
      <protection locked="0"/>
    </xf>
    <xf numFmtId="0" fontId="26" fillId="41" borderId="23" xfId="0" applyFont="1" applyFill="1" applyBorder="1" applyAlignment="1" applyProtection="1">
      <alignment horizontal="left" vertical="center"/>
      <protection locked="0"/>
    </xf>
    <xf numFmtId="0" fontId="26" fillId="41" borderId="24" xfId="0" applyFont="1" applyFill="1" applyBorder="1" applyAlignment="1" applyProtection="1">
      <alignment horizontal="left" vertical="center"/>
      <protection locked="0"/>
    </xf>
    <xf numFmtId="0" fontId="29" fillId="41" borderId="0" xfId="0" applyFont="1" applyFill="1" applyBorder="1" applyAlignment="1" applyProtection="1">
      <alignment horizontal="left" vertical="top" wrapText="1"/>
    </xf>
    <xf numFmtId="0" fontId="0" fillId="0" borderId="0" xfId="0" applyAlignment="1">
      <alignment horizontal="center"/>
    </xf>
    <xf numFmtId="0" fontId="26" fillId="41" borderId="0" xfId="0" applyFont="1" applyFill="1" applyBorder="1" applyAlignment="1">
      <alignment horizontal="left" vertical="top" wrapText="1"/>
    </xf>
    <xf numFmtId="43" fontId="16" fillId="0" borderId="16" xfId="1" applyFont="1" applyBorder="1" applyAlignment="1">
      <alignment horizontal="center" vertical="center"/>
    </xf>
    <xf numFmtId="43" fontId="16" fillId="0" borderId="17" xfId="1" applyFont="1" applyBorder="1" applyAlignment="1">
      <alignment horizontal="center" vertical="center"/>
    </xf>
    <xf numFmtId="0" fontId="16" fillId="0" borderId="16" xfId="0" applyFont="1" applyBorder="1" applyAlignment="1">
      <alignment horizontal="center"/>
    </xf>
    <xf numFmtId="0" fontId="16" fillId="0" borderId="17" xfId="0" applyFont="1" applyBorder="1" applyAlignment="1">
      <alignment horizontal="center"/>
    </xf>
    <xf numFmtId="0" fontId="13" fillId="36" borderId="11" xfId="0" applyFont="1" applyFill="1" applyBorder="1" applyAlignment="1">
      <alignment horizontal="center" vertical="center" wrapText="1"/>
    </xf>
    <xf numFmtId="0" fontId="13" fillId="36" borderId="13" xfId="0" applyFont="1" applyFill="1" applyBorder="1" applyAlignment="1">
      <alignment horizontal="center" vertical="center" wrapText="1"/>
    </xf>
    <xf numFmtId="0" fontId="13" fillId="36" borderId="27" xfId="0" applyFont="1" applyFill="1" applyBorder="1" applyAlignment="1">
      <alignment horizontal="center" vertical="center" wrapText="1"/>
    </xf>
    <xf numFmtId="0" fontId="13" fillId="36" borderId="22" xfId="0" applyFont="1" applyFill="1" applyBorder="1" applyAlignment="1">
      <alignment horizontal="center" vertical="center" wrapText="1"/>
    </xf>
    <xf numFmtId="0" fontId="13" fillId="36" borderId="23" xfId="0" applyFont="1" applyFill="1" applyBorder="1" applyAlignment="1">
      <alignment horizontal="center" vertical="center" wrapText="1"/>
    </xf>
    <xf numFmtId="0" fontId="13" fillId="38" borderId="22" xfId="0" applyFont="1" applyFill="1" applyBorder="1" applyAlignment="1">
      <alignment horizontal="center" vertical="center" wrapText="1"/>
    </xf>
    <xf numFmtId="0" fontId="13" fillId="38" borderId="23" xfId="0" applyFont="1" applyFill="1" applyBorder="1" applyAlignment="1">
      <alignment horizontal="center" vertical="center" wrapText="1"/>
    </xf>
    <xf numFmtId="0" fontId="13" fillId="38" borderId="24" xfId="0" applyFont="1" applyFill="1" applyBorder="1" applyAlignment="1">
      <alignment horizontal="center" vertical="center" wrapText="1"/>
    </xf>
    <xf numFmtId="0" fontId="13" fillId="36" borderId="53" xfId="0" applyFont="1" applyFill="1" applyBorder="1" applyAlignment="1">
      <alignment horizontal="center" vertical="center" wrapText="1"/>
    </xf>
    <xf numFmtId="0" fontId="13" fillId="38" borderId="0" xfId="0" applyFont="1" applyFill="1" applyBorder="1" applyAlignment="1">
      <alignment horizontal="center" vertical="center" wrapText="1"/>
    </xf>
    <xf numFmtId="0" fontId="13" fillId="38" borderId="0" xfId="0" applyFont="1" applyFill="1" applyBorder="1" applyAlignment="1">
      <alignment horizontal="center" wrapText="1"/>
    </xf>
    <xf numFmtId="0" fontId="34" fillId="0" borderId="0" xfId="0" applyFont="1"/>
    <xf numFmtId="9" fontId="0" fillId="0" borderId="0" xfId="1" applyNumberFormat="1" applyFont="1"/>
    <xf numFmtId="43" fontId="26" fillId="40" borderId="0" xfId="1" applyFont="1" applyFill="1" applyAlignment="1" applyProtection="1">
      <alignment horizontal="right"/>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8">
    <dxf>
      <font>
        <color rgb="FF9C0006"/>
      </font>
    </dxf>
    <dxf>
      <font>
        <color rgb="FF9C0006"/>
      </font>
      <fill>
        <patternFill patternType="none">
          <bgColor auto="1"/>
        </patternFill>
      </fill>
    </dxf>
    <dxf>
      <font>
        <color rgb="FF9C0006"/>
      </font>
    </dxf>
    <dxf>
      <font>
        <color rgb="FF9C0006"/>
      </font>
      <fill>
        <patternFill patternType="none">
          <bgColor auto="1"/>
        </patternFill>
      </fill>
    </dxf>
    <dxf>
      <font>
        <color rgb="FF9C0006"/>
      </font>
    </dxf>
    <dxf>
      <font>
        <color rgb="FF9C0006"/>
      </font>
      <fill>
        <patternFill patternType="none">
          <bgColor auto="1"/>
        </patternFill>
      </fill>
    </dxf>
    <dxf>
      <font>
        <color rgb="FF9C0006"/>
      </font>
    </dxf>
    <dxf>
      <font>
        <color rgb="FF9C0006"/>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4"/>
              </a:solidFill>
              <a:ln w="19050">
                <a:solidFill>
                  <a:schemeClr val="lt1"/>
                </a:solidFill>
              </a:ln>
              <a:effectLst/>
            </c:spPr>
            <c:extLst>
              <c:ext xmlns:c16="http://schemas.microsoft.com/office/drawing/2014/chart" uri="{C3380CC4-5D6E-409C-BE32-E72D297353CC}">
                <c16:uniqueId val="{00000001-8FC4-4915-B9A3-3DBEEA50492E}"/>
              </c:ext>
            </c:extLst>
          </c:dPt>
          <c:dPt>
            <c:idx val="1"/>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3-8FC4-4915-B9A3-3DBEEA50492E}"/>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8FC4-4915-B9A3-3DBEEA50492E}"/>
              </c:ext>
            </c:extLst>
          </c:dPt>
          <c:dPt>
            <c:idx val="3"/>
            <c:bubble3D val="0"/>
            <c:spPr>
              <a:solidFill>
                <a:schemeClr val="tx1">
                  <a:lumMod val="65000"/>
                  <a:lumOff val="35000"/>
                </a:schemeClr>
              </a:solidFill>
              <a:ln w="19050">
                <a:solidFill>
                  <a:schemeClr val="lt1"/>
                </a:solidFill>
              </a:ln>
              <a:effectLst/>
            </c:spPr>
            <c:extLst>
              <c:ext xmlns:c16="http://schemas.microsoft.com/office/drawing/2014/chart" uri="{C3380CC4-5D6E-409C-BE32-E72D297353CC}">
                <c16:uniqueId val="{00000007-8FC4-4915-B9A3-3DBEEA50492E}"/>
              </c:ext>
            </c:extLst>
          </c:dPt>
          <c:dPt>
            <c:idx val="4"/>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9-8FC4-4915-B9A3-3DBEEA50492E}"/>
              </c:ext>
            </c:extLst>
          </c:dPt>
          <c:dPt>
            <c:idx val="5"/>
            <c:bubble3D val="0"/>
            <c:spPr>
              <a:solidFill>
                <a:schemeClr val="accent2"/>
              </a:solidFill>
              <a:ln w="19050">
                <a:solidFill>
                  <a:schemeClr val="lt1"/>
                </a:solidFill>
              </a:ln>
              <a:effectLst/>
            </c:spPr>
            <c:extLst>
              <c:ext xmlns:c16="http://schemas.microsoft.com/office/drawing/2014/chart" uri="{C3380CC4-5D6E-409C-BE32-E72D297353CC}">
                <c16:uniqueId val="{0000000B-8FC4-4915-B9A3-3DBEEA50492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Calulations!$A$53:$A$58</c:f>
              <c:strCache>
                <c:ptCount val="6"/>
                <c:pt idx="0">
                  <c:v>EC2 - Compute</c:v>
                </c:pt>
                <c:pt idx="1">
                  <c:v>EBS -Storage</c:v>
                </c:pt>
                <c:pt idx="2">
                  <c:v>FSx -Storage</c:v>
                </c:pt>
                <c:pt idx="3">
                  <c:v>Site-to-Site - Networking</c:v>
                </c:pt>
                <c:pt idx="4">
                  <c:v>Data Transfer Out - Networking</c:v>
                </c:pt>
                <c:pt idx="5">
                  <c:v>AppStream 2.0</c:v>
                </c:pt>
              </c:strCache>
            </c:strRef>
          </c:cat>
          <c:val>
            <c:numRef>
              <c:f>Calulations!$B$53:$B$58</c:f>
              <c:numCache>
                <c:formatCode>_-* #,##0_-;\-* #,##0_-;_-* "-"??_-;_-@_-</c:formatCode>
                <c:ptCount val="6"/>
                <c:pt idx="0">
                  <c:v>#N/A</c:v>
                </c:pt>
                <c:pt idx="1">
                  <c:v>0</c:v>
                </c:pt>
                <c:pt idx="2">
                  <c:v>#N/A</c:v>
                </c:pt>
                <c:pt idx="3">
                  <c:v>0</c:v>
                </c:pt>
                <c:pt idx="4">
                  <c:v>0</c:v>
                </c:pt>
                <c:pt idx="5">
                  <c:v>0</c:v>
                </c:pt>
              </c:numCache>
            </c:numRef>
          </c:val>
          <c:extLst>
            <c:ext xmlns:c16="http://schemas.microsoft.com/office/drawing/2014/chart" uri="{C3380CC4-5D6E-409C-BE32-E72D297353CC}">
              <c16:uniqueId val="{0000000C-8FC4-4915-B9A3-3DBEEA50492E}"/>
            </c:ext>
          </c:extLst>
        </c:ser>
        <c:dLbls>
          <c:dLblPos val="outEnd"/>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83-48AE-AEB3-A99275B9CB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083-48AE-AEB3-A99275B9CB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83-48AE-AEB3-A99275B9CB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083-48AE-AEB3-A99275B9CB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083-48AE-AEB3-A99275B9CB5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083-48AE-AEB3-A99275B9CB58}"/>
              </c:ext>
            </c:extLst>
          </c:dPt>
          <c:cat>
            <c:strRef>
              <c:f>Calulations!$A$53:$A$58</c:f>
              <c:strCache>
                <c:ptCount val="6"/>
                <c:pt idx="0">
                  <c:v>EC2 - Compute</c:v>
                </c:pt>
                <c:pt idx="1">
                  <c:v>EBS -Storage</c:v>
                </c:pt>
                <c:pt idx="2">
                  <c:v>FSx -Storage</c:v>
                </c:pt>
                <c:pt idx="3">
                  <c:v>Site-to-Site - Networking</c:v>
                </c:pt>
                <c:pt idx="4">
                  <c:v>Data Transfer Out - Networking</c:v>
                </c:pt>
                <c:pt idx="5">
                  <c:v>AppStream 2.0</c:v>
                </c:pt>
              </c:strCache>
            </c:strRef>
          </c:cat>
          <c:val>
            <c:numRef>
              <c:f>Calulations!$B$53:$B$58</c:f>
              <c:numCache>
                <c:formatCode>_-* #,##0_-;\-* #,##0_-;_-* "-"??_-;_-@_-</c:formatCode>
                <c:ptCount val="6"/>
                <c:pt idx="0">
                  <c:v>#N/A</c:v>
                </c:pt>
                <c:pt idx="1">
                  <c:v>0</c:v>
                </c:pt>
                <c:pt idx="2">
                  <c:v>#N/A</c:v>
                </c:pt>
                <c:pt idx="3">
                  <c:v>0</c:v>
                </c:pt>
                <c:pt idx="4">
                  <c:v>0</c:v>
                </c:pt>
                <c:pt idx="5">
                  <c:v>0</c:v>
                </c:pt>
              </c:numCache>
            </c:numRef>
          </c:val>
          <c:extLst>
            <c:ext xmlns:c16="http://schemas.microsoft.com/office/drawing/2014/chart" uri="{C3380CC4-5D6E-409C-BE32-E72D297353CC}">
              <c16:uniqueId val="{00000000-AA5E-40F9-9C0A-1484821F385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17622124995232"/>
          <c:y val="0.10667906409301624"/>
          <c:w val="0.65350732050594562"/>
          <c:h val="0.7799359351148711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D8-43D0-B5B0-B4554273B4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D8-43D0-B5B0-B4554273B4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D8-43D0-B5B0-B4554273B42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FD8-43D0-B5B0-B4554273B42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FD8-43D0-B5B0-B4554273B42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FD8-43D0-B5B0-B4554273B42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FD8-43D0-B5B0-B4554273B42B}"/>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a-DK"/>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multiLvlStrRef>
              <c:f>'EC2'!$A$34:$A$40</c:f>
            </c:multiLvlStrRef>
          </c:cat>
          <c:val>
            <c:numRef>
              <c:f>'EC2'!$B$34:$B$40</c:f>
            </c:numRef>
          </c:val>
          <c:extLst>
            <c:ext xmlns:c16="http://schemas.microsoft.com/office/drawing/2014/chart" uri="{C3380CC4-5D6E-409C-BE32-E72D297353CC}">
              <c16:uniqueId val="{0000000E-0FD8-43D0-B5B0-B4554273B42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5" dropStyle="combo" dx="16" fmlaLink="Input!$E$21" fmlaRange="Input!$B$22:$B$26" noThreeD="1" sel="1" val="0"/>
</file>

<file path=xl/ctrlProps/ctrlProp2.xml><?xml version="1.0" encoding="utf-8"?>
<formControlPr xmlns="http://schemas.microsoft.com/office/spreadsheetml/2009/9/main" objectType="Drop" dropLines="10" dropStyle="combo" dx="16" fmlaLink="Input!$E$29" fmlaRange="Input!$B$32:$B$41" noThreeD="1" sel="1" val="0"/>
</file>

<file path=xl/ctrlProps/ctrlProp3.xml><?xml version="1.0" encoding="utf-8"?>
<formControlPr xmlns="http://schemas.microsoft.com/office/spreadsheetml/2009/9/main" objectType="Drop" dropLines="4" dropStyle="combo" dx="16" fmlaLink="Input!$E$43" fmlaRange="Input!$B$44:$B$47" noThreeD="1" sel="1" val="0"/>
</file>

<file path=xl/ctrlProps/ctrlProp4.xml><?xml version="1.0" encoding="utf-8"?>
<formControlPr xmlns="http://schemas.microsoft.com/office/spreadsheetml/2009/9/main" objectType="Drop" dropLines="5" dropStyle="combo" dx="16" fmlaLink="Input!$E$13" fmlaRange="Input!$B$14:$B$18" noThreeD="1" sel="1" val="0"/>
</file>

<file path=xl/ctrlProps/ctrlProp5.xml><?xml version="1.0" encoding="utf-8"?>
<formControlPr xmlns="http://schemas.microsoft.com/office/spreadsheetml/2009/9/main" objectType="Drop" dropLines="3" dropStyle="combo" dx="16" fmlaLink="Input!$E$50" fmlaRange="Input!$B$51:$B$53" noThreeD="1" sel="1" val="0"/>
</file>

<file path=xl/ctrlProps/ctrlProp6.xml><?xml version="1.0" encoding="utf-8"?>
<formControlPr xmlns="http://schemas.microsoft.com/office/spreadsheetml/2009/9/main" objectType="Drop" dropLines="3" dropStyle="combo" dx="16" fmlaLink="Input!$E$2" fmlaRange="Input!$B$3:$B$5" noThreeD="1" sel="1" val="0"/>
</file>

<file path=xl/ctrlProps/ctrlProp7.xml><?xml version="1.0" encoding="utf-8"?>
<formControlPr xmlns="http://schemas.microsoft.com/office/spreadsheetml/2009/9/main" objectType="Drop" dropLines="3" dropStyle="combo" dx="16" fmlaLink="Input!$E$7" fmlaRange="Input!$B$8:$B$10" noThreeD="1" sel="1" val="0"/>
</file>

<file path=xl/ctrlProps/ctrlProp8.xml><?xml version="1.0" encoding="utf-8"?>
<formControlPr xmlns="http://schemas.microsoft.com/office/spreadsheetml/2009/9/main" objectType="Radio" checked="Checked" firstButton="1" fmlaLink="Input!$A$57"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13</xdr:col>
      <xdr:colOff>287337</xdr:colOff>
      <xdr:row>1</xdr:row>
      <xdr:rowOff>165003</xdr:rowOff>
    </xdr:from>
    <xdr:to>
      <xdr:col>15</xdr:col>
      <xdr:colOff>163115</xdr:colOff>
      <xdr:row>3</xdr:row>
      <xdr:rowOff>28802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534275" y="347566"/>
          <a:ext cx="1442641" cy="311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0</xdr:colOff>
          <xdr:row>32</xdr:row>
          <xdr:rowOff>171450</xdr:rowOff>
        </xdr:from>
        <xdr:to>
          <xdr:col>14</xdr:col>
          <xdr:colOff>361950</xdr:colOff>
          <xdr:row>34</xdr:row>
          <xdr:rowOff>9525</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7</xdr:col>
          <xdr:colOff>589578</xdr:colOff>
          <xdr:row>74</xdr:row>
          <xdr:rowOff>180975</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xdr:colOff>
          <xdr:row>78</xdr:row>
          <xdr:rowOff>0</xdr:rowOff>
        </xdr:from>
        <xdr:to>
          <xdr:col>8</xdr:col>
          <xdr:colOff>1</xdr:colOff>
          <xdr:row>78</xdr:row>
          <xdr:rowOff>180975</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180975</xdr:rowOff>
        </xdr:from>
        <xdr:to>
          <xdr:col>8</xdr:col>
          <xdr:colOff>4762</xdr:colOff>
          <xdr:row>30</xdr:row>
          <xdr:rowOff>9525</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58</xdr:row>
          <xdr:rowOff>19050</xdr:rowOff>
        </xdr:from>
        <xdr:to>
          <xdr:col>7</xdr:col>
          <xdr:colOff>593361</xdr:colOff>
          <xdr:row>59</xdr:row>
          <xdr:rowOff>38100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171450</xdr:rowOff>
        </xdr:from>
        <xdr:to>
          <xdr:col>8</xdr:col>
          <xdr:colOff>23422</xdr:colOff>
          <xdr:row>10</xdr:row>
          <xdr:rowOff>9525</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171450</xdr:rowOff>
        </xdr:from>
        <xdr:to>
          <xdr:col>7</xdr:col>
          <xdr:colOff>593361</xdr:colOff>
          <xdr:row>14</xdr:row>
          <xdr:rowOff>9525</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417512</xdr:colOff>
      <xdr:row>133</xdr:row>
      <xdr:rowOff>96837</xdr:rowOff>
    </xdr:from>
    <xdr:to>
      <xdr:col>12</xdr:col>
      <xdr:colOff>266700</xdr:colOff>
      <xdr:row>148</xdr:row>
      <xdr:rowOff>28575</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47625</xdr:colOff>
          <xdr:row>46</xdr:row>
          <xdr:rowOff>0</xdr:rowOff>
        </xdr:from>
        <xdr:to>
          <xdr:col>6</xdr:col>
          <xdr:colOff>484803</xdr:colOff>
          <xdr:row>47</xdr:row>
          <xdr:rowOff>57150</xdr:rowOff>
        </xdr:to>
        <xdr:sp macro="" textlink="">
          <xdr:nvSpPr>
            <xdr:cNvPr id="8202" name="Option Button 10" descr="Use recommended storage dimensioning "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a-DK" sz="800" b="0" i="0" u="none" strike="noStrike" baseline="0">
                  <a:solidFill>
                    <a:srgbClr val="000000"/>
                  </a:solidFill>
                  <a:latin typeface="Segoe UI"/>
                  <a:cs typeface="Segoe UI"/>
                </a:rPr>
                <a:t>Use recommended storage dimensioning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19050</xdr:rowOff>
        </xdr:from>
        <xdr:to>
          <xdr:col>5</xdr:col>
          <xdr:colOff>607364</xdr:colOff>
          <xdr:row>48</xdr:row>
          <xdr:rowOff>66675</xdr:rowOff>
        </xdr:to>
        <xdr:sp macro="" textlink="">
          <xdr:nvSpPr>
            <xdr:cNvPr id="8203" name="Option Button 11" descr="Use customized values"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a-DK" sz="800" b="0" i="0" u="none" strike="noStrike" baseline="0">
                  <a:solidFill>
                    <a:srgbClr val="000000"/>
                  </a:solidFill>
                  <a:latin typeface="Segoe UI"/>
                  <a:cs typeface="Segoe UI"/>
                </a:rPr>
                <a:t>Use customized values (specify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59</xdr:row>
      <xdr:rowOff>123824</xdr:rowOff>
    </xdr:from>
    <xdr:to>
      <xdr:col>2</xdr:col>
      <xdr:colOff>342900</xdr:colOff>
      <xdr:row>74</xdr:row>
      <xdr:rowOff>152399</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93865</xdr:colOff>
      <xdr:row>32</xdr:row>
      <xdr:rowOff>0</xdr:rowOff>
    </xdr:from>
    <xdr:to>
      <xdr:col>10</xdr:col>
      <xdr:colOff>339437</xdr:colOff>
      <xdr:row>44</xdr:row>
      <xdr:rowOff>173182</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25D8-0AD3-4364-92F4-DE140A46A5A0}">
  <sheetPr>
    <pageSetUpPr fitToPage="1"/>
  </sheetPr>
  <dimension ref="A1:AP154"/>
  <sheetViews>
    <sheetView showGridLines="0" showRowColHeaders="0" tabSelected="1" zoomScale="118" zoomScaleNormal="118" workbookViewId="0">
      <selection activeCell="C87" sqref="C87:H87"/>
    </sheetView>
  </sheetViews>
  <sheetFormatPr defaultColWidth="9" defaultRowHeight="14.25" x14ac:dyDescent="0.45"/>
  <cols>
    <col min="1" max="1" width="6.73046875" style="89" customWidth="1"/>
    <col min="2" max="2" width="3.265625" style="89" customWidth="1"/>
    <col min="3" max="3" width="9" style="89"/>
    <col min="4" max="4" width="5.1328125" style="89" customWidth="1"/>
    <col min="5" max="5" width="7.265625" style="89" customWidth="1"/>
    <col min="6" max="6" width="9" style="89"/>
    <col min="7" max="7" width="14.59765625" style="89" customWidth="1"/>
    <col min="8" max="8" width="8.33203125" style="89" customWidth="1"/>
    <col min="9" max="9" width="1.265625" style="89" customWidth="1"/>
    <col min="10" max="13" width="9" style="89"/>
    <col min="14" max="14" width="12.86328125" style="89" bestFit="1" customWidth="1"/>
    <col min="15" max="15" width="9" style="89"/>
    <col min="16" max="16" width="3.265625" style="89" customWidth="1"/>
    <col min="17" max="17" width="6.73046875" style="89" customWidth="1"/>
    <col min="18" max="16384" width="9" style="89"/>
  </cols>
  <sheetData>
    <row r="1" spans="1:42" x14ac:dyDescent="0.45">
      <c r="A1" s="87"/>
      <c r="B1" s="87"/>
      <c r="C1" s="87"/>
      <c r="D1" s="87"/>
      <c r="E1" s="87"/>
      <c r="F1" s="87"/>
      <c r="G1" s="87"/>
      <c r="H1" s="87"/>
      <c r="I1" s="87"/>
      <c r="J1" s="87"/>
      <c r="K1" s="87"/>
      <c r="L1" s="87"/>
      <c r="M1" s="87"/>
      <c r="N1" s="87"/>
      <c r="O1" s="87"/>
      <c r="P1" s="87"/>
      <c r="Q1" s="87"/>
      <c r="R1" s="88"/>
      <c r="S1" s="88"/>
      <c r="T1" s="88"/>
      <c r="U1" s="88"/>
      <c r="V1" s="88"/>
      <c r="W1" s="88"/>
      <c r="X1" s="88"/>
      <c r="Y1" s="88"/>
      <c r="Z1" s="88"/>
      <c r="AA1" s="88"/>
      <c r="AB1" s="88"/>
      <c r="AC1" s="88"/>
      <c r="AD1" s="88"/>
      <c r="AE1" s="88"/>
      <c r="AF1" s="88"/>
      <c r="AG1" s="88"/>
      <c r="AH1" s="88"/>
      <c r="AI1" s="88"/>
      <c r="AJ1" s="88"/>
      <c r="AK1" s="88"/>
      <c r="AL1" s="88"/>
      <c r="AM1" s="88"/>
      <c r="AN1" s="88"/>
      <c r="AO1" s="88"/>
      <c r="AP1" s="88"/>
    </row>
    <row r="2" spans="1:42" x14ac:dyDescent="0.45">
      <c r="A2" s="87"/>
      <c r="B2" s="87"/>
      <c r="C2" s="87"/>
      <c r="D2" s="87"/>
      <c r="E2" s="87"/>
      <c r="F2" s="87"/>
      <c r="G2" s="87"/>
      <c r="H2" s="87"/>
      <c r="I2" s="87"/>
      <c r="J2" s="87"/>
      <c r="K2" s="87"/>
      <c r="L2" s="87"/>
      <c r="M2" s="87"/>
      <c r="N2" s="87"/>
      <c r="O2" s="87"/>
      <c r="P2" s="87"/>
      <c r="Q2" s="87"/>
      <c r="R2" s="88"/>
      <c r="S2" s="88"/>
      <c r="T2" s="88"/>
      <c r="U2" s="88"/>
      <c r="V2" s="88"/>
      <c r="W2" s="88"/>
      <c r="X2" s="88"/>
      <c r="Y2" s="88"/>
      <c r="Z2" s="88"/>
      <c r="AA2" s="88"/>
      <c r="AB2" s="88"/>
      <c r="AC2" s="88"/>
      <c r="AD2" s="88"/>
      <c r="AE2" s="88"/>
      <c r="AF2" s="88"/>
      <c r="AG2" s="88"/>
      <c r="AH2" s="88"/>
      <c r="AI2" s="88"/>
      <c r="AJ2" s="88"/>
      <c r="AK2" s="88"/>
      <c r="AL2" s="88"/>
      <c r="AM2" s="88"/>
      <c r="AN2" s="88"/>
      <c r="AO2" s="88"/>
      <c r="AP2" s="88"/>
    </row>
    <row r="3" spans="1:42" ht="20.65" x14ac:dyDescent="0.75">
      <c r="A3" s="87"/>
      <c r="B3" s="90" t="s">
        <v>183</v>
      </c>
      <c r="C3" s="87"/>
      <c r="D3" s="87"/>
      <c r="E3" s="87"/>
      <c r="F3" s="87"/>
      <c r="G3" s="87"/>
      <c r="H3" s="87"/>
      <c r="I3" s="87"/>
      <c r="J3" s="87"/>
      <c r="K3" s="87"/>
      <c r="L3" s="87"/>
      <c r="M3" s="87"/>
      <c r="N3" s="87"/>
      <c r="O3" s="87"/>
      <c r="P3" s="87"/>
      <c r="Q3" s="87"/>
      <c r="R3" s="88"/>
      <c r="S3" s="88"/>
      <c r="T3" s="88"/>
      <c r="U3" s="88"/>
      <c r="V3" s="88"/>
      <c r="W3" s="88"/>
      <c r="X3" s="88"/>
      <c r="Y3" s="88"/>
      <c r="Z3" s="88"/>
      <c r="AA3" s="88"/>
      <c r="AB3" s="88"/>
      <c r="AC3" s="88"/>
      <c r="AD3" s="88"/>
      <c r="AE3" s="88"/>
      <c r="AF3" s="88"/>
      <c r="AG3" s="88"/>
      <c r="AH3" s="88"/>
      <c r="AI3" s="88"/>
      <c r="AJ3" s="88"/>
      <c r="AK3" s="88"/>
      <c r="AL3" s="88"/>
      <c r="AM3" s="88"/>
      <c r="AN3" s="88"/>
      <c r="AO3" s="88"/>
      <c r="AP3" s="88"/>
    </row>
    <row r="4" spans="1:42" x14ac:dyDescent="0.45">
      <c r="A4" s="87"/>
      <c r="B4" s="87"/>
      <c r="C4" s="87"/>
      <c r="D4" s="87"/>
      <c r="E4" s="87"/>
      <c r="F4" s="87"/>
      <c r="G4" s="87"/>
      <c r="H4" s="87"/>
      <c r="I4" s="87"/>
      <c r="J4" s="87"/>
      <c r="K4" s="87"/>
      <c r="L4" s="87"/>
      <c r="M4" s="87"/>
      <c r="N4" s="87"/>
      <c r="O4" s="87"/>
      <c r="P4" s="87"/>
      <c r="Q4" s="87"/>
      <c r="R4" s="88"/>
      <c r="S4" s="88"/>
      <c r="T4" s="88"/>
      <c r="U4" s="88"/>
      <c r="V4" s="88"/>
      <c r="W4" s="88"/>
      <c r="X4" s="88"/>
      <c r="Y4" s="88"/>
      <c r="Z4" s="88"/>
      <c r="AA4" s="88"/>
      <c r="AB4" s="88"/>
      <c r="AC4" s="88"/>
      <c r="AD4" s="88"/>
      <c r="AE4" s="88"/>
      <c r="AF4" s="88"/>
      <c r="AG4" s="88"/>
      <c r="AH4" s="88"/>
      <c r="AI4" s="88"/>
      <c r="AJ4" s="88"/>
      <c r="AK4" s="88"/>
      <c r="AL4" s="88"/>
      <c r="AM4" s="88"/>
      <c r="AN4" s="88"/>
      <c r="AO4" s="88"/>
      <c r="AP4" s="88"/>
    </row>
    <row r="5" spans="1:42" x14ac:dyDescent="0.45">
      <c r="A5" s="87"/>
      <c r="B5" s="87"/>
      <c r="C5" s="87"/>
      <c r="D5" s="87"/>
      <c r="E5" s="87"/>
      <c r="F5" s="87"/>
      <c r="G5" s="87"/>
      <c r="H5" s="87"/>
      <c r="I5" s="87"/>
      <c r="J5" s="87"/>
      <c r="K5" s="87"/>
      <c r="L5" s="87"/>
      <c r="M5" s="87"/>
      <c r="N5" s="87"/>
      <c r="O5" s="87"/>
      <c r="P5" s="87"/>
      <c r="Q5" s="87"/>
      <c r="R5" s="88"/>
      <c r="S5" s="88"/>
      <c r="T5" s="88"/>
      <c r="U5" s="88"/>
      <c r="V5" s="88"/>
      <c r="W5" s="88"/>
      <c r="X5" s="88"/>
      <c r="Y5" s="88"/>
      <c r="Z5" s="88"/>
      <c r="AA5" s="88"/>
      <c r="AB5" s="88"/>
      <c r="AC5" s="88"/>
      <c r="AD5" s="88"/>
      <c r="AE5" s="88"/>
      <c r="AF5" s="88"/>
      <c r="AG5" s="88"/>
      <c r="AH5" s="88"/>
      <c r="AI5" s="88"/>
      <c r="AJ5" s="88"/>
      <c r="AK5" s="88"/>
      <c r="AL5" s="88"/>
      <c r="AM5" s="88"/>
      <c r="AN5" s="88"/>
      <c r="AO5" s="88"/>
      <c r="AP5" s="88"/>
    </row>
    <row r="6" spans="1:42" ht="27" customHeight="1" x14ac:dyDescent="0.45">
      <c r="A6" s="87"/>
      <c r="B6" s="91"/>
      <c r="C6" s="92" t="s">
        <v>133</v>
      </c>
      <c r="D6" s="92"/>
      <c r="E6" s="92"/>
      <c r="F6" s="93"/>
      <c r="G6" s="93"/>
      <c r="H6" s="93"/>
      <c r="I6" s="93"/>
      <c r="J6" s="93"/>
      <c r="K6" s="93"/>
      <c r="L6" s="93"/>
      <c r="M6" s="93"/>
      <c r="N6" s="93"/>
      <c r="O6" s="93"/>
      <c r="P6" s="94"/>
      <c r="Q6" s="87"/>
      <c r="R6" s="88"/>
      <c r="S6" s="88"/>
      <c r="T6" s="88"/>
      <c r="U6" s="88"/>
      <c r="V6" s="88"/>
      <c r="W6" s="88"/>
      <c r="X6" s="88"/>
      <c r="Y6" s="88"/>
      <c r="Z6" s="88"/>
      <c r="AA6" s="88"/>
      <c r="AB6" s="88"/>
      <c r="AC6" s="88"/>
      <c r="AD6" s="88"/>
      <c r="AE6" s="88"/>
      <c r="AF6" s="88"/>
      <c r="AG6" s="88"/>
      <c r="AH6" s="88"/>
      <c r="AI6" s="88"/>
      <c r="AJ6" s="88"/>
      <c r="AK6" s="88"/>
      <c r="AL6" s="88"/>
      <c r="AM6" s="88"/>
      <c r="AN6" s="88"/>
      <c r="AO6" s="88"/>
      <c r="AP6" s="88"/>
    </row>
    <row r="7" spans="1:42" x14ac:dyDescent="0.45">
      <c r="A7" s="87"/>
      <c r="B7" s="95"/>
      <c r="C7" s="96"/>
      <c r="D7" s="96"/>
      <c r="E7" s="96"/>
      <c r="F7" s="96"/>
      <c r="G7" s="96"/>
      <c r="H7" s="96"/>
      <c r="I7" s="96"/>
      <c r="J7" s="96"/>
      <c r="K7" s="96"/>
      <c r="L7" s="96"/>
      <c r="M7" s="96"/>
      <c r="N7" s="96"/>
      <c r="O7" s="96"/>
      <c r="P7" s="97"/>
      <c r="Q7" s="87"/>
      <c r="R7" s="88"/>
      <c r="S7" s="88"/>
      <c r="T7" s="88"/>
      <c r="U7" s="88"/>
      <c r="V7" s="88"/>
      <c r="W7" s="88"/>
      <c r="X7" s="88"/>
      <c r="Y7" s="88"/>
      <c r="Z7" s="88"/>
      <c r="AA7" s="88"/>
      <c r="AB7" s="88"/>
      <c r="AC7" s="88"/>
      <c r="AD7" s="88"/>
      <c r="AE7" s="88"/>
      <c r="AF7" s="88"/>
      <c r="AG7" s="88"/>
      <c r="AH7" s="88"/>
      <c r="AI7" s="88"/>
      <c r="AJ7" s="88"/>
      <c r="AK7" s="88"/>
      <c r="AL7" s="88"/>
      <c r="AM7" s="88"/>
      <c r="AN7" s="88"/>
      <c r="AO7" s="88"/>
      <c r="AP7" s="88"/>
    </row>
    <row r="8" spans="1:42" ht="15" x14ac:dyDescent="0.55000000000000004">
      <c r="A8" s="87"/>
      <c r="B8" s="95"/>
      <c r="C8" s="98" t="s">
        <v>134</v>
      </c>
      <c r="D8" s="98"/>
      <c r="E8" s="98"/>
      <c r="F8" s="96"/>
      <c r="G8" s="96"/>
      <c r="H8" s="96"/>
      <c r="I8" s="96"/>
      <c r="J8" s="96"/>
      <c r="K8" s="96"/>
      <c r="L8" s="96"/>
      <c r="M8" s="96"/>
      <c r="N8" s="96"/>
      <c r="O8" s="96"/>
      <c r="P8" s="97"/>
      <c r="Q8" s="87"/>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2" x14ac:dyDescent="0.45">
      <c r="A9" s="87"/>
      <c r="B9" s="95"/>
      <c r="C9" s="99" t="s">
        <v>154</v>
      </c>
      <c r="D9" s="100"/>
      <c r="E9" s="100"/>
      <c r="F9" s="96"/>
      <c r="G9" s="96"/>
      <c r="H9" s="96"/>
      <c r="I9" s="96"/>
      <c r="J9" s="96"/>
      <c r="K9" s="96"/>
      <c r="L9" s="96"/>
      <c r="M9" s="96"/>
      <c r="N9" s="96"/>
      <c r="O9" s="96"/>
      <c r="P9" s="97"/>
      <c r="Q9" s="87"/>
      <c r="R9" s="88"/>
      <c r="S9" s="88"/>
      <c r="T9" s="88"/>
      <c r="U9" s="88"/>
      <c r="V9" s="88"/>
      <c r="W9" s="88"/>
      <c r="X9" s="88"/>
      <c r="Y9" s="88"/>
      <c r="Z9" s="88"/>
      <c r="AA9" s="88"/>
      <c r="AB9" s="88"/>
      <c r="AC9" s="88"/>
      <c r="AD9" s="88"/>
      <c r="AE9" s="88"/>
      <c r="AF9" s="88"/>
      <c r="AG9" s="88"/>
      <c r="AH9" s="88"/>
      <c r="AI9" s="88"/>
      <c r="AJ9" s="88"/>
      <c r="AK9" s="88"/>
      <c r="AL9" s="88"/>
      <c r="AM9" s="88"/>
      <c r="AN9" s="88"/>
      <c r="AO9" s="88"/>
      <c r="AP9" s="88"/>
    </row>
    <row r="10" spans="1:42" x14ac:dyDescent="0.45">
      <c r="A10" s="87"/>
      <c r="B10" s="95"/>
      <c r="C10" s="149"/>
      <c r="D10" s="149"/>
      <c r="E10" s="149"/>
      <c r="F10" s="149"/>
      <c r="G10" s="149"/>
      <c r="H10" s="149"/>
      <c r="I10" s="96"/>
      <c r="J10" s="96"/>
      <c r="K10" s="96"/>
      <c r="L10" s="96"/>
      <c r="M10" s="96"/>
      <c r="N10" s="96"/>
      <c r="O10" s="96"/>
      <c r="P10" s="97"/>
      <c r="Q10" s="87"/>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row>
    <row r="11" spans="1:42" x14ac:dyDescent="0.45">
      <c r="A11" s="87"/>
      <c r="B11" s="95"/>
      <c r="C11" s="101"/>
      <c r="D11" s="101"/>
      <c r="E11" s="101"/>
      <c r="F11" s="101"/>
      <c r="G11" s="101"/>
      <c r="H11" s="101"/>
      <c r="I11" s="96"/>
      <c r="J11" s="96"/>
      <c r="K11" s="96"/>
      <c r="L11" s="96"/>
      <c r="M11" s="96"/>
      <c r="N11" s="96"/>
      <c r="O11" s="96"/>
      <c r="P11" s="97"/>
      <c r="Q11" s="87"/>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row>
    <row r="12" spans="1:42" ht="15" x14ac:dyDescent="0.55000000000000004">
      <c r="A12" s="87"/>
      <c r="B12" s="95"/>
      <c r="C12" s="98" t="s">
        <v>138</v>
      </c>
      <c r="D12" s="98"/>
      <c r="E12" s="98"/>
      <c r="F12" s="96"/>
      <c r="G12" s="96"/>
      <c r="H12" s="96"/>
      <c r="I12" s="96"/>
      <c r="J12" s="96"/>
      <c r="K12" s="96"/>
      <c r="L12" s="96"/>
      <c r="M12" s="96"/>
      <c r="N12" s="96"/>
      <c r="O12" s="96"/>
      <c r="P12" s="97"/>
      <c r="Q12" s="87"/>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row>
    <row r="13" spans="1:42" x14ac:dyDescent="0.45">
      <c r="A13" s="87"/>
      <c r="B13" s="95"/>
      <c r="C13" s="99" t="s">
        <v>139</v>
      </c>
      <c r="D13" s="100"/>
      <c r="E13" s="100"/>
      <c r="F13" s="96"/>
      <c r="G13" s="96"/>
      <c r="H13" s="96"/>
      <c r="I13" s="96"/>
      <c r="J13" s="96"/>
      <c r="K13" s="96"/>
      <c r="L13" s="96"/>
      <c r="M13" s="96"/>
      <c r="N13" s="96"/>
      <c r="O13" s="96"/>
      <c r="P13" s="97"/>
      <c r="Q13" s="87"/>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row>
    <row r="14" spans="1:42" x14ac:dyDescent="0.45">
      <c r="A14" s="87"/>
      <c r="B14" s="95"/>
      <c r="C14" s="149">
        <v>200</v>
      </c>
      <c r="D14" s="149"/>
      <c r="E14" s="149"/>
      <c r="F14" s="149"/>
      <c r="G14" s="149"/>
      <c r="H14" s="149"/>
      <c r="I14" s="96"/>
      <c r="J14" s="96"/>
      <c r="K14" s="96"/>
      <c r="L14" s="96"/>
      <c r="M14" s="96"/>
      <c r="N14" s="96"/>
      <c r="O14" s="96"/>
      <c r="P14" s="97"/>
      <c r="Q14" s="87"/>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row>
    <row r="15" spans="1:42" ht="19.5" customHeight="1" x14ac:dyDescent="0.45">
      <c r="A15" s="87"/>
      <c r="B15" s="102"/>
      <c r="C15" s="103"/>
      <c r="D15" s="103"/>
      <c r="E15" s="103"/>
      <c r="F15" s="103"/>
      <c r="G15" s="103"/>
      <c r="H15" s="103"/>
      <c r="I15" s="103"/>
      <c r="J15" s="103"/>
      <c r="K15" s="103"/>
      <c r="L15" s="103"/>
      <c r="M15" s="103"/>
      <c r="N15" s="103"/>
      <c r="O15" s="103"/>
      <c r="P15" s="104"/>
      <c r="Q15" s="87"/>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row>
    <row r="16" spans="1:42" x14ac:dyDescent="0.45">
      <c r="A16" s="87"/>
      <c r="B16" s="87"/>
      <c r="C16" s="87"/>
      <c r="D16" s="87"/>
      <c r="E16" s="87"/>
      <c r="F16" s="87"/>
      <c r="G16" s="87"/>
      <c r="H16" s="87"/>
      <c r="I16" s="87"/>
      <c r="J16" s="87"/>
      <c r="K16" s="87"/>
      <c r="L16" s="87"/>
      <c r="M16" s="87"/>
      <c r="N16" s="87"/>
      <c r="O16" s="87"/>
      <c r="P16" s="87"/>
      <c r="Q16" s="87"/>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2" x14ac:dyDescent="0.45">
      <c r="A17" s="87"/>
      <c r="B17" s="87"/>
      <c r="C17" s="87"/>
      <c r="D17" s="87"/>
      <c r="E17" s="87"/>
      <c r="F17" s="87"/>
      <c r="G17" s="87"/>
      <c r="H17" s="87"/>
      <c r="I17" s="87"/>
      <c r="J17" s="87"/>
      <c r="K17" s="87"/>
      <c r="L17" s="87"/>
      <c r="M17" s="87"/>
      <c r="N17" s="87"/>
      <c r="O17" s="87"/>
      <c r="P17" s="87"/>
      <c r="Q17" s="87"/>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row>
    <row r="18" spans="1:42" ht="27" customHeight="1" x14ac:dyDescent="0.45">
      <c r="A18" s="87"/>
      <c r="B18" s="91"/>
      <c r="C18" s="92" t="s">
        <v>184</v>
      </c>
      <c r="D18" s="92"/>
      <c r="E18" s="92"/>
      <c r="F18" s="93"/>
      <c r="G18" s="93"/>
      <c r="H18" s="93"/>
      <c r="I18" s="93"/>
      <c r="J18" s="93"/>
      <c r="K18" s="93"/>
      <c r="L18" s="93"/>
      <c r="M18" s="93"/>
      <c r="N18" s="93"/>
      <c r="O18" s="93"/>
      <c r="P18" s="94"/>
      <c r="Q18" s="87"/>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row>
    <row r="19" spans="1:42" x14ac:dyDescent="0.45">
      <c r="A19" s="87"/>
      <c r="B19" s="95"/>
      <c r="C19" s="96"/>
      <c r="D19" s="96"/>
      <c r="E19" s="96"/>
      <c r="F19" s="96"/>
      <c r="G19" s="96"/>
      <c r="H19" s="96"/>
      <c r="I19" s="96"/>
      <c r="J19" s="96"/>
      <c r="K19" s="96"/>
      <c r="L19" s="96"/>
      <c r="M19" s="96"/>
      <c r="N19" s="96"/>
      <c r="O19" s="96"/>
      <c r="P19" s="97"/>
      <c r="Q19" s="87"/>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row>
    <row r="20" spans="1:42" ht="15" x14ac:dyDescent="0.55000000000000004">
      <c r="A20" s="87"/>
      <c r="B20" s="95"/>
      <c r="C20" s="98" t="s">
        <v>101</v>
      </c>
      <c r="D20" s="98"/>
      <c r="E20" s="98"/>
      <c r="F20" s="96"/>
      <c r="G20" s="96"/>
      <c r="H20" s="96"/>
      <c r="I20" s="96"/>
      <c r="J20" s="96"/>
      <c r="K20" s="96"/>
      <c r="L20" s="96"/>
      <c r="M20" s="96"/>
      <c r="N20" s="96"/>
      <c r="O20" s="96"/>
      <c r="P20" s="97"/>
      <c r="Q20" s="87"/>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row>
    <row r="21" spans="1:42" x14ac:dyDescent="0.45">
      <c r="A21" s="87"/>
      <c r="B21" s="95"/>
      <c r="C21" s="99" t="s">
        <v>185</v>
      </c>
      <c r="D21" s="100"/>
      <c r="E21" s="100"/>
      <c r="F21" s="96"/>
      <c r="G21" s="96"/>
      <c r="H21" s="96"/>
      <c r="I21" s="96"/>
      <c r="J21" s="96"/>
      <c r="K21" s="96"/>
      <c r="L21" s="96"/>
      <c r="M21" s="96"/>
      <c r="N21" s="96"/>
      <c r="O21" s="96"/>
      <c r="P21" s="97"/>
      <c r="Q21" s="87"/>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row>
    <row r="22" spans="1:42" x14ac:dyDescent="0.45">
      <c r="A22" s="87"/>
      <c r="B22" s="105"/>
      <c r="C22" s="153"/>
      <c r="D22" s="154"/>
      <c r="E22" s="154"/>
      <c r="F22" s="154"/>
      <c r="G22" s="154"/>
      <c r="H22" s="154"/>
      <c r="I22" s="106"/>
      <c r="J22" s="96"/>
      <c r="K22" s="152" t="str">
        <f>IF(EC2Data=TRUE,IF(EC2_Instance="No Match","The specified number of cameras with the given stream size exceeds the capacity of a single EC2 instance.",""),"")</f>
        <v/>
      </c>
      <c r="L22" s="152"/>
      <c r="M22" s="152"/>
      <c r="N22" s="152"/>
      <c r="O22" s="152"/>
      <c r="P22" s="97"/>
      <c r="Q22" s="87"/>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row>
    <row r="23" spans="1:42" x14ac:dyDescent="0.45">
      <c r="A23" s="87"/>
      <c r="B23" s="95"/>
      <c r="C23" s="96"/>
      <c r="D23" s="96"/>
      <c r="E23" s="96"/>
      <c r="F23" s="96"/>
      <c r="G23" s="96"/>
      <c r="H23" s="96"/>
      <c r="I23" s="96"/>
      <c r="J23" s="96"/>
      <c r="K23" s="152"/>
      <c r="L23" s="152"/>
      <c r="M23" s="152"/>
      <c r="N23" s="152"/>
      <c r="O23" s="152"/>
      <c r="P23" s="97"/>
      <c r="Q23" s="87"/>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row>
    <row r="24" spans="1:42" ht="15" x14ac:dyDescent="0.55000000000000004">
      <c r="A24" s="87"/>
      <c r="B24" s="95"/>
      <c r="C24" s="98" t="s">
        <v>102</v>
      </c>
      <c r="D24" s="98"/>
      <c r="E24" s="98"/>
      <c r="F24" s="96"/>
      <c r="G24" s="96"/>
      <c r="H24" s="96"/>
      <c r="I24" s="96"/>
      <c r="J24" s="96"/>
      <c r="K24" s="96"/>
      <c r="L24" s="96"/>
      <c r="M24" s="96"/>
      <c r="N24" s="96"/>
      <c r="O24" s="96"/>
      <c r="P24" s="97"/>
      <c r="Q24" s="87"/>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row>
    <row r="25" spans="1:42" x14ac:dyDescent="0.45">
      <c r="A25" s="87"/>
      <c r="B25" s="95"/>
      <c r="C25" s="107" t="s">
        <v>186</v>
      </c>
      <c r="D25" s="100"/>
      <c r="E25" s="100"/>
      <c r="F25" s="96"/>
      <c r="G25" s="96"/>
      <c r="H25" s="96"/>
      <c r="I25" s="96"/>
      <c r="J25" s="96"/>
      <c r="K25" s="96"/>
      <c r="L25" s="96"/>
      <c r="M25" s="96"/>
      <c r="N25" s="96"/>
      <c r="O25" s="96"/>
      <c r="P25" s="97"/>
      <c r="Q25" s="87"/>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row>
    <row r="26" spans="1:42" ht="14.65" x14ac:dyDescent="0.5">
      <c r="A26" s="87"/>
      <c r="B26" s="95"/>
      <c r="C26" s="153"/>
      <c r="D26" s="154"/>
      <c r="E26" s="154"/>
      <c r="F26" s="154"/>
      <c r="G26" s="154"/>
      <c r="H26" s="155"/>
      <c r="I26" s="96"/>
      <c r="J26" s="108" t="s">
        <v>46</v>
      </c>
      <c r="K26" s="96"/>
      <c r="L26" s="96"/>
      <c r="M26" s="96"/>
      <c r="N26" s="96"/>
      <c r="O26" s="96"/>
      <c r="P26" s="97"/>
      <c r="Q26" s="87"/>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row>
    <row r="27" spans="1:42" x14ac:dyDescent="0.45">
      <c r="A27" s="87"/>
      <c r="B27" s="95"/>
      <c r="C27" s="96"/>
      <c r="D27" s="96"/>
      <c r="E27" s="96"/>
      <c r="F27" s="96"/>
      <c r="G27" s="96"/>
      <c r="H27" s="96"/>
      <c r="I27" s="96"/>
      <c r="J27" s="96"/>
      <c r="K27" s="96"/>
      <c r="L27" s="96"/>
      <c r="M27" s="96"/>
      <c r="N27" s="96"/>
      <c r="O27" s="96"/>
      <c r="P27" s="97"/>
      <c r="Q27" s="87"/>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row>
    <row r="28" spans="1:42" ht="15" x14ac:dyDescent="0.55000000000000004">
      <c r="A28" s="87"/>
      <c r="B28" s="95"/>
      <c r="C28" s="98" t="s">
        <v>103</v>
      </c>
      <c r="D28" s="98"/>
      <c r="E28" s="98"/>
      <c r="F28" s="96"/>
      <c r="G28" s="96"/>
      <c r="H28" s="96"/>
      <c r="I28" s="96"/>
      <c r="J28" s="96"/>
      <c r="K28" s="96"/>
      <c r="L28" s="96"/>
      <c r="M28" s="96"/>
      <c r="N28" s="96"/>
      <c r="O28" s="96"/>
      <c r="P28" s="97"/>
      <c r="Q28" s="87"/>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row>
    <row r="29" spans="1:42" x14ac:dyDescent="0.45">
      <c r="A29" s="87"/>
      <c r="B29" s="95"/>
      <c r="C29" s="99" t="s">
        <v>187</v>
      </c>
      <c r="D29" s="100"/>
      <c r="E29" s="100"/>
      <c r="F29" s="96"/>
      <c r="G29" s="96"/>
      <c r="H29" s="96"/>
      <c r="I29" s="96"/>
      <c r="J29" s="96"/>
      <c r="K29" s="96"/>
      <c r="L29" s="96"/>
      <c r="M29" s="96"/>
      <c r="N29" s="96"/>
      <c r="O29" s="96"/>
      <c r="P29" s="97"/>
      <c r="Q29" s="87"/>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row>
    <row r="30" spans="1:42" ht="14.65" x14ac:dyDescent="0.5">
      <c r="A30" s="87"/>
      <c r="B30" s="95"/>
      <c r="C30" s="149"/>
      <c r="D30" s="149"/>
      <c r="E30" s="149"/>
      <c r="F30" s="149"/>
      <c r="G30" s="149"/>
      <c r="H30" s="149"/>
      <c r="I30" s="96"/>
      <c r="J30" s="108" t="s">
        <v>44</v>
      </c>
      <c r="K30" s="96"/>
      <c r="L30" s="96"/>
      <c r="M30" s="96"/>
      <c r="N30" s="96"/>
      <c r="O30" s="96"/>
      <c r="P30" s="97"/>
      <c r="Q30" s="87"/>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row>
    <row r="31" spans="1:42" x14ac:dyDescent="0.45">
      <c r="A31" s="87"/>
      <c r="B31" s="95"/>
      <c r="C31" s="96"/>
      <c r="D31" s="96"/>
      <c r="E31" s="96"/>
      <c r="F31" s="96"/>
      <c r="G31" s="96"/>
      <c r="H31" s="96"/>
      <c r="I31" s="96"/>
      <c r="J31" s="96"/>
      <c r="K31" s="96"/>
      <c r="L31" s="96"/>
      <c r="M31" s="96"/>
      <c r="N31" s="96"/>
      <c r="O31" s="96"/>
      <c r="P31" s="97"/>
      <c r="Q31" s="87"/>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row>
    <row r="32" spans="1:42" ht="15" x14ac:dyDescent="0.55000000000000004">
      <c r="A32" s="87"/>
      <c r="B32" s="95"/>
      <c r="C32" s="98" t="s">
        <v>109</v>
      </c>
      <c r="D32" s="98"/>
      <c r="E32" s="98"/>
      <c r="F32" s="96"/>
      <c r="G32" s="96"/>
      <c r="H32" s="96"/>
      <c r="I32" s="96"/>
      <c r="J32" s="96"/>
      <c r="K32" s="96"/>
      <c r="L32" s="96"/>
      <c r="M32" s="96"/>
      <c r="N32" s="96"/>
      <c r="O32" s="96"/>
      <c r="P32" s="97"/>
      <c r="Q32" s="87"/>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row>
    <row r="33" spans="1:42" x14ac:dyDescent="0.45">
      <c r="A33" s="87"/>
      <c r="B33" s="95"/>
      <c r="C33" s="99" t="s">
        <v>188</v>
      </c>
      <c r="D33" s="100"/>
      <c r="E33" s="100"/>
      <c r="F33" s="96"/>
      <c r="G33" s="96"/>
      <c r="H33" s="96"/>
      <c r="I33" s="96"/>
      <c r="J33" s="96"/>
      <c r="K33" s="96"/>
      <c r="L33" s="96"/>
      <c r="M33" s="96"/>
      <c r="N33" s="96"/>
      <c r="O33" s="96"/>
      <c r="P33" s="97"/>
      <c r="Q33" s="87"/>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row>
    <row r="34" spans="1:42" x14ac:dyDescent="0.45">
      <c r="A34" s="87"/>
      <c r="B34" s="95"/>
      <c r="C34" s="153"/>
      <c r="D34" s="154"/>
      <c r="E34" s="154"/>
      <c r="F34" s="154"/>
      <c r="G34" s="154"/>
      <c r="H34" s="154"/>
      <c r="I34" s="106"/>
      <c r="J34" s="150"/>
      <c r="K34" s="150"/>
      <c r="L34" s="150"/>
      <c r="M34" s="150"/>
      <c r="N34" s="150"/>
      <c r="O34" s="150"/>
      <c r="P34" s="97"/>
      <c r="Q34" s="87"/>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row>
    <row r="35" spans="1:42" x14ac:dyDescent="0.45">
      <c r="A35" s="87"/>
      <c r="B35" s="102"/>
      <c r="C35" s="109"/>
      <c r="D35" s="109"/>
      <c r="E35" s="109"/>
      <c r="F35" s="109"/>
      <c r="G35" s="109"/>
      <c r="H35" s="109"/>
      <c r="I35" s="103"/>
      <c r="J35" s="110"/>
      <c r="K35" s="110"/>
      <c r="L35" s="110"/>
      <c r="M35" s="110"/>
      <c r="N35" s="110"/>
      <c r="O35" s="110"/>
      <c r="P35" s="104"/>
      <c r="Q35" s="87"/>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row>
    <row r="36" spans="1:42" x14ac:dyDescent="0.45">
      <c r="A36" s="87"/>
      <c r="B36" s="87"/>
      <c r="C36" s="87"/>
      <c r="D36" s="87"/>
      <c r="E36" s="87"/>
      <c r="F36" s="87"/>
      <c r="G36" s="87"/>
      <c r="H36" s="87"/>
      <c r="I36" s="87"/>
      <c r="J36" s="87"/>
      <c r="K36" s="87"/>
      <c r="L36" s="87"/>
      <c r="M36" s="87"/>
      <c r="N36" s="87"/>
      <c r="O36" s="87"/>
      <c r="P36" s="87"/>
      <c r="Q36" s="87"/>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row>
    <row r="37" spans="1:42" x14ac:dyDescent="0.45">
      <c r="A37" s="87"/>
      <c r="B37" s="87"/>
      <c r="C37" s="87"/>
      <c r="D37" s="87"/>
      <c r="E37" s="87"/>
      <c r="F37" s="87"/>
      <c r="G37" s="87"/>
      <c r="H37" s="87"/>
      <c r="I37" s="87"/>
      <c r="J37" s="87"/>
      <c r="K37" s="87"/>
      <c r="L37" s="87"/>
      <c r="M37" s="87"/>
      <c r="N37" s="87"/>
      <c r="O37" s="87"/>
      <c r="P37" s="87"/>
      <c r="Q37" s="87"/>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row>
    <row r="38" spans="1:42" ht="27" customHeight="1" x14ac:dyDescent="0.55000000000000004">
      <c r="A38" s="87"/>
      <c r="B38" s="111"/>
      <c r="C38" s="112" t="s">
        <v>61</v>
      </c>
      <c r="D38" s="113"/>
      <c r="E38" s="113"/>
      <c r="F38" s="114"/>
      <c r="G38" s="114"/>
      <c r="H38" s="114"/>
      <c r="I38" s="114"/>
      <c r="J38" s="114"/>
      <c r="K38" s="114"/>
      <c r="L38" s="114"/>
      <c r="M38" s="114"/>
      <c r="N38" s="114"/>
      <c r="O38" s="114"/>
      <c r="P38" s="115"/>
      <c r="Q38" s="87"/>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row>
    <row r="39" spans="1:42" x14ac:dyDescent="0.45">
      <c r="A39" s="87"/>
      <c r="B39" s="116"/>
      <c r="C39" s="101"/>
      <c r="D39" s="101"/>
      <c r="E39" s="101"/>
      <c r="F39" s="101"/>
      <c r="G39" s="101"/>
      <c r="H39" s="101"/>
      <c r="I39" s="96"/>
      <c r="J39" s="117"/>
      <c r="K39" s="117"/>
      <c r="L39" s="117"/>
      <c r="M39" s="117"/>
      <c r="N39" s="117"/>
      <c r="O39" s="117"/>
      <c r="P39" s="118"/>
      <c r="Q39" s="87"/>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row>
    <row r="40" spans="1:42" ht="15" x14ac:dyDescent="0.55000000000000004">
      <c r="A40" s="87"/>
      <c r="B40" s="116"/>
      <c r="C40" s="98" t="s">
        <v>217</v>
      </c>
      <c r="D40" s="101"/>
      <c r="E40" s="101"/>
      <c r="F40" s="101"/>
      <c r="G40" s="101"/>
      <c r="H40" s="101"/>
      <c r="I40" s="96"/>
      <c r="J40" s="117"/>
      <c r="K40" s="117"/>
      <c r="L40" s="117"/>
      <c r="M40" s="117"/>
      <c r="N40" s="117"/>
      <c r="O40" s="117"/>
      <c r="P40" s="118"/>
      <c r="Q40" s="87"/>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row>
    <row r="41" spans="1:42" x14ac:dyDescent="0.45">
      <c r="A41" s="87"/>
      <c r="B41" s="116"/>
      <c r="C41" s="99" t="s">
        <v>218</v>
      </c>
      <c r="D41" s="101"/>
      <c r="E41" s="101"/>
      <c r="F41" s="101"/>
      <c r="G41" s="101"/>
      <c r="H41" s="101"/>
      <c r="I41" s="96"/>
      <c r="J41" s="117"/>
      <c r="K41" s="117"/>
      <c r="L41" s="117"/>
      <c r="M41" s="117"/>
      <c r="N41" s="117"/>
      <c r="O41" s="117"/>
      <c r="P41" s="118"/>
      <c r="Q41" s="87"/>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row>
    <row r="42" spans="1:42" ht="6" customHeight="1" x14ac:dyDescent="0.45">
      <c r="A42" s="87"/>
      <c r="B42" s="116"/>
      <c r="C42" s="99"/>
      <c r="D42" s="101"/>
      <c r="E42" s="101"/>
      <c r="F42" s="101"/>
      <c r="G42" s="101"/>
      <c r="H42" s="101"/>
      <c r="I42" s="96"/>
      <c r="J42" s="117"/>
      <c r="K42" s="117"/>
      <c r="L42" s="117"/>
      <c r="M42" s="117"/>
      <c r="N42" s="117"/>
      <c r="O42" s="117"/>
      <c r="P42" s="118"/>
      <c r="Q42" s="87"/>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row>
    <row r="43" spans="1:42" x14ac:dyDescent="0.45">
      <c r="A43" s="87"/>
      <c r="B43" s="116"/>
      <c r="C43" s="119" t="s">
        <v>197</v>
      </c>
      <c r="D43" s="101"/>
      <c r="E43" s="120">
        <f>IF(StorageData=TRUE,Req_MediaDB,0)</f>
        <v>0</v>
      </c>
      <c r="F43" s="121" t="s">
        <v>199</v>
      </c>
      <c r="G43" s="101"/>
      <c r="H43" s="101"/>
      <c r="I43" s="96"/>
      <c r="J43" s="117"/>
      <c r="K43" s="117"/>
      <c r="L43" s="117"/>
      <c r="M43" s="117"/>
      <c r="N43" s="117"/>
      <c r="O43" s="117"/>
      <c r="P43" s="118"/>
      <c r="Q43" s="87"/>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row>
    <row r="44" spans="1:42" x14ac:dyDescent="0.45">
      <c r="A44" s="87"/>
      <c r="B44" s="116"/>
      <c r="C44" s="119" t="s">
        <v>198</v>
      </c>
      <c r="D44" s="101"/>
      <c r="E44" s="122">
        <f>IF(StorageData=TRUE,Req_Archive,0)</f>
        <v>0</v>
      </c>
      <c r="F44" s="121" t="s">
        <v>200</v>
      </c>
      <c r="G44" s="101"/>
      <c r="H44" s="101"/>
      <c r="I44" s="96"/>
      <c r="J44" s="117"/>
      <c r="K44" s="117"/>
      <c r="L44" s="117"/>
      <c r="M44" s="117"/>
      <c r="N44" s="117"/>
      <c r="O44" s="117"/>
      <c r="P44" s="118"/>
      <c r="Q44" s="87"/>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row>
    <row r="45" spans="1:42" x14ac:dyDescent="0.45">
      <c r="A45" s="87"/>
      <c r="B45" s="116"/>
      <c r="C45" s="101"/>
      <c r="D45" s="101"/>
      <c r="E45" s="101"/>
      <c r="F45" s="101"/>
      <c r="G45" s="101"/>
      <c r="H45" s="101"/>
      <c r="I45" s="96"/>
      <c r="J45" s="117"/>
      <c r="K45" s="117"/>
      <c r="L45" s="117"/>
      <c r="M45" s="117"/>
      <c r="N45" s="117"/>
      <c r="O45" s="117"/>
      <c r="P45" s="118"/>
      <c r="Q45" s="87"/>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row>
    <row r="46" spans="1:42" x14ac:dyDescent="0.45">
      <c r="A46" s="87"/>
      <c r="B46" s="116"/>
      <c r="C46" s="99" t="s">
        <v>219</v>
      </c>
      <c r="D46" s="101"/>
      <c r="E46" s="101"/>
      <c r="F46" s="101"/>
      <c r="G46" s="101"/>
      <c r="H46" s="101"/>
      <c r="I46" s="96"/>
      <c r="J46" s="117"/>
      <c r="K46" s="117"/>
      <c r="L46" s="117"/>
      <c r="M46" s="117"/>
      <c r="N46" s="117"/>
      <c r="O46" s="117"/>
      <c r="P46" s="118"/>
      <c r="Q46" s="87"/>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row>
    <row r="47" spans="1:42" x14ac:dyDescent="0.45">
      <c r="A47" s="87"/>
      <c r="B47" s="116"/>
      <c r="C47" s="101"/>
      <c r="D47" s="101"/>
      <c r="E47" s="101"/>
      <c r="F47" s="101"/>
      <c r="G47" s="101"/>
      <c r="H47" s="101"/>
      <c r="I47" s="96"/>
      <c r="J47" s="117"/>
      <c r="K47" s="117"/>
      <c r="L47" s="117"/>
      <c r="M47" s="117"/>
      <c r="N47" s="117"/>
      <c r="O47" s="117"/>
      <c r="P47" s="118"/>
      <c r="Q47" s="87"/>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row>
    <row r="48" spans="1:42" x14ac:dyDescent="0.45">
      <c r="A48" s="87"/>
      <c r="B48" s="116"/>
      <c r="C48" s="101"/>
      <c r="D48" s="101"/>
      <c r="E48" s="101"/>
      <c r="F48" s="101"/>
      <c r="G48" s="101"/>
      <c r="H48" s="101"/>
      <c r="I48" s="96"/>
      <c r="J48" s="117"/>
      <c r="K48" s="117"/>
      <c r="L48" s="117"/>
      <c r="M48" s="117"/>
      <c r="N48" s="117"/>
      <c r="O48" s="117"/>
      <c r="P48" s="118"/>
      <c r="Q48" s="87"/>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row>
    <row r="49" spans="1:42" x14ac:dyDescent="0.45">
      <c r="A49" s="87"/>
      <c r="B49" s="116"/>
      <c r="C49" s="101"/>
      <c r="D49" s="101"/>
      <c r="E49" s="101"/>
      <c r="F49" s="101"/>
      <c r="G49" s="101"/>
      <c r="H49" s="101"/>
      <c r="I49" s="96"/>
      <c r="J49" s="117"/>
      <c r="K49" s="117"/>
      <c r="L49" s="117"/>
      <c r="M49" s="117"/>
      <c r="N49" s="117"/>
      <c r="O49" s="117"/>
      <c r="P49" s="118"/>
      <c r="Q49" s="87"/>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row>
    <row r="50" spans="1:42" ht="15" x14ac:dyDescent="0.55000000000000004">
      <c r="A50" s="87"/>
      <c r="B50" s="116"/>
      <c r="C50" s="98" t="s">
        <v>202</v>
      </c>
      <c r="D50" s="101"/>
      <c r="E50" s="101"/>
      <c r="F50" s="101"/>
      <c r="G50" s="101"/>
      <c r="H50" s="101"/>
      <c r="I50" s="96"/>
      <c r="J50" s="117"/>
      <c r="K50" s="117"/>
      <c r="L50" s="117"/>
      <c r="M50" s="117"/>
      <c r="N50" s="117"/>
      <c r="O50" s="117"/>
      <c r="P50" s="118"/>
      <c r="Q50" s="87"/>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row>
    <row r="51" spans="1:42" x14ac:dyDescent="0.45">
      <c r="A51" s="87"/>
      <c r="B51" s="116"/>
      <c r="C51" s="99" t="s">
        <v>203</v>
      </c>
      <c r="D51" s="101"/>
      <c r="E51" s="101"/>
      <c r="F51" s="101"/>
      <c r="G51" s="101"/>
      <c r="H51" s="101"/>
      <c r="I51" s="96"/>
      <c r="J51" s="117"/>
      <c r="K51" s="117"/>
      <c r="L51" s="117"/>
      <c r="M51" s="117"/>
      <c r="N51" s="117"/>
      <c r="O51" s="117"/>
      <c r="P51" s="118"/>
      <c r="Q51" s="87"/>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row>
    <row r="52" spans="1:42" ht="14.65" x14ac:dyDescent="0.5">
      <c r="A52" s="87"/>
      <c r="B52" s="116"/>
      <c r="C52" s="157"/>
      <c r="D52" s="158"/>
      <c r="E52" s="158"/>
      <c r="F52" s="158"/>
      <c r="G52" s="158"/>
      <c r="H52" s="159"/>
      <c r="I52" s="96"/>
      <c r="J52" s="123" t="s">
        <v>49</v>
      </c>
      <c r="K52" s="123" t="str">
        <f>IF(Storage_Input=2,IF(Custom_MediaDB&lt;Req_MediaDB,"The size must be larger than required minimum size",""),"Not used")</f>
        <v>Not used</v>
      </c>
      <c r="L52" s="117"/>
      <c r="M52" s="117"/>
      <c r="N52" s="117"/>
      <c r="O52" s="117"/>
      <c r="P52" s="118"/>
      <c r="Q52" s="87"/>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row>
    <row r="53" spans="1:42" ht="14.65" x14ac:dyDescent="0.5">
      <c r="A53" s="87"/>
      <c r="B53" s="116"/>
      <c r="C53" s="101"/>
      <c r="D53" s="101"/>
      <c r="E53" s="101"/>
      <c r="F53" s="101"/>
      <c r="G53" s="101"/>
      <c r="H53" s="101"/>
      <c r="I53" s="96"/>
      <c r="J53" s="123"/>
      <c r="K53" s="123"/>
      <c r="L53" s="117"/>
      <c r="M53" s="117"/>
      <c r="N53" s="117"/>
      <c r="O53" s="117"/>
      <c r="P53" s="118"/>
      <c r="Q53" s="87"/>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row>
    <row r="54" spans="1:42" ht="14.65" x14ac:dyDescent="0.5">
      <c r="A54" s="87"/>
      <c r="B54" s="116"/>
      <c r="C54" s="99" t="s">
        <v>204</v>
      </c>
      <c r="D54" s="101"/>
      <c r="E54" s="101"/>
      <c r="F54" s="101"/>
      <c r="G54" s="101"/>
      <c r="H54" s="101"/>
      <c r="I54" s="96"/>
      <c r="J54" s="123"/>
      <c r="K54" s="123"/>
      <c r="L54" s="117"/>
      <c r="M54" s="117"/>
      <c r="N54" s="117"/>
      <c r="O54" s="117"/>
      <c r="P54" s="118"/>
      <c r="Q54" s="87"/>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row>
    <row r="55" spans="1:42" ht="14.65" x14ac:dyDescent="0.5">
      <c r="A55" s="87"/>
      <c r="B55" s="116"/>
      <c r="C55" s="157"/>
      <c r="D55" s="158"/>
      <c r="E55" s="158"/>
      <c r="F55" s="158"/>
      <c r="G55" s="158"/>
      <c r="H55" s="159"/>
      <c r="I55" s="96"/>
      <c r="J55" s="123" t="s">
        <v>89</v>
      </c>
      <c r="K55" s="123" t="str">
        <f>IF(Storage_Input=2,IF(Custom_Archive&lt;Req_Archive,"The size must be larger than required minimum size",""),"Not used")</f>
        <v>Not used</v>
      </c>
      <c r="L55" s="117"/>
      <c r="M55" s="117"/>
      <c r="N55" s="117"/>
      <c r="O55" s="117"/>
      <c r="P55" s="118"/>
      <c r="Q55" s="87"/>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row>
    <row r="56" spans="1:42" x14ac:dyDescent="0.45">
      <c r="A56" s="87"/>
      <c r="B56" s="116"/>
      <c r="C56" s="101"/>
      <c r="D56" s="101"/>
      <c r="E56" s="101"/>
      <c r="F56" s="101"/>
      <c r="G56" s="101"/>
      <c r="H56" s="101"/>
      <c r="I56" s="96"/>
      <c r="J56" s="117"/>
      <c r="K56" s="117"/>
      <c r="L56" s="117"/>
      <c r="M56" s="117"/>
      <c r="N56" s="117"/>
      <c r="O56" s="117"/>
      <c r="P56" s="118"/>
      <c r="Q56" s="87"/>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row>
    <row r="57" spans="1:42" ht="15" x14ac:dyDescent="0.55000000000000004">
      <c r="A57" s="87"/>
      <c r="B57" s="116"/>
      <c r="C57" s="98" t="s">
        <v>179</v>
      </c>
      <c r="D57" s="98"/>
      <c r="E57" s="98"/>
      <c r="F57" s="96"/>
      <c r="G57" s="96"/>
      <c r="H57" s="96"/>
      <c r="I57" s="96"/>
      <c r="J57" s="96"/>
      <c r="K57" s="96"/>
      <c r="L57" s="96"/>
      <c r="M57" s="96"/>
      <c r="N57" s="96"/>
      <c r="O57" s="96"/>
      <c r="P57" s="118"/>
      <c r="Q57" s="87"/>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row>
    <row r="58" spans="1:42" x14ac:dyDescent="0.45">
      <c r="A58" s="87"/>
      <c r="B58" s="116"/>
      <c r="C58" s="99" t="s">
        <v>180</v>
      </c>
      <c r="D58" s="100"/>
      <c r="E58" s="100"/>
      <c r="F58" s="96"/>
      <c r="G58" s="96"/>
      <c r="H58" s="96"/>
      <c r="I58" s="96"/>
      <c r="J58" s="96"/>
      <c r="K58" s="96"/>
      <c r="L58" s="96"/>
      <c r="M58" s="96"/>
      <c r="N58" s="96"/>
      <c r="O58" s="96"/>
      <c r="P58" s="118"/>
      <c r="Q58" s="87"/>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row>
    <row r="59" spans="1:42" x14ac:dyDescent="0.45">
      <c r="A59" s="87"/>
      <c r="B59" s="116"/>
      <c r="C59" s="149"/>
      <c r="D59" s="149"/>
      <c r="E59" s="149"/>
      <c r="F59" s="149"/>
      <c r="G59" s="149"/>
      <c r="H59" s="149"/>
      <c r="I59" s="96"/>
      <c r="J59" s="150"/>
      <c r="K59" s="150"/>
      <c r="L59" s="150"/>
      <c r="M59" s="150"/>
      <c r="N59" s="150"/>
      <c r="O59" s="150"/>
      <c r="P59" s="118"/>
      <c r="Q59" s="87"/>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row>
    <row r="60" spans="1:42" ht="23.25" customHeight="1" x14ac:dyDescent="0.45">
      <c r="A60" s="87"/>
      <c r="B60" s="124"/>
      <c r="C60" s="125"/>
      <c r="D60" s="125"/>
      <c r="E60" s="125"/>
      <c r="F60" s="125"/>
      <c r="G60" s="125"/>
      <c r="H60" s="125"/>
      <c r="I60" s="125"/>
      <c r="J60" s="125"/>
      <c r="K60" s="125"/>
      <c r="L60" s="125"/>
      <c r="M60" s="125"/>
      <c r="N60" s="125"/>
      <c r="O60" s="125"/>
      <c r="P60" s="126"/>
      <c r="Q60" s="87"/>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row>
    <row r="61" spans="1:42" x14ac:dyDescent="0.45">
      <c r="A61" s="87"/>
      <c r="B61" s="87"/>
      <c r="C61" s="87"/>
      <c r="D61" s="87"/>
      <c r="E61" s="87"/>
      <c r="F61" s="87"/>
      <c r="G61" s="87"/>
      <c r="H61" s="87"/>
      <c r="I61" s="87"/>
      <c r="J61" s="87"/>
      <c r="K61" s="87"/>
      <c r="L61" s="87"/>
      <c r="M61" s="87"/>
      <c r="N61" s="87"/>
      <c r="O61" s="87"/>
      <c r="P61" s="87"/>
      <c r="Q61" s="87"/>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row>
    <row r="62" spans="1:42" x14ac:dyDescent="0.45">
      <c r="A62" s="87"/>
      <c r="B62" s="87"/>
      <c r="C62" s="87"/>
      <c r="D62" s="87"/>
      <c r="E62" s="87"/>
      <c r="F62" s="87"/>
      <c r="G62" s="87"/>
      <c r="H62" s="87"/>
      <c r="I62" s="87"/>
      <c r="J62" s="87"/>
      <c r="K62" s="87"/>
      <c r="L62" s="87"/>
      <c r="M62" s="87"/>
      <c r="N62" s="87"/>
      <c r="O62" s="87"/>
      <c r="P62" s="87"/>
      <c r="Q62" s="87"/>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row>
    <row r="63" spans="1:42" ht="27" customHeight="1" x14ac:dyDescent="0.55000000000000004">
      <c r="A63" s="87"/>
      <c r="B63" s="111"/>
      <c r="C63" s="112" t="s">
        <v>104</v>
      </c>
      <c r="D63" s="113"/>
      <c r="E63" s="113"/>
      <c r="F63" s="114"/>
      <c r="G63" s="114"/>
      <c r="H63" s="114"/>
      <c r="I63" s="114"/>
      <c r="J63" s="114"/>
      <c r="K63" s="114"/>
      <c r="L63" s="114"/>
      <c r="M63" s="114"/>
      <c r="N63" s="114"/>
      <c r="O63" s="114"/>
      <c r="P63" s="115"/>
      <c r="Q63" s="87"/>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row>
    <row r="64" spans="1:42" x14ac:dyDescent="0.45">
      <c r="A64" s="87"/>
      <c r="B64" s="116"/>
      <c r="C64" s="96"/>
      <c r="D64" s="96"/>
      <c r="E64" s="96"/>
      <c r="F64" s="96"/>
      <c r="G64" s="96"/>
      <c r="H64" s="96"/>
      <c r="I64" s="96"/>
      <c r="J64" s="96"/>
      <c r="K64" s="96"/>
      <c r="L64" s="96"/>
      <c r="M64" s="96"/>
      <c r="N64" s="96"/>
      <c r="O64" s="96"/>
      <c r="P64" s="118"/>
      <c r="Q64" s="87"/>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row>
    <row r="65" spans="1:42" ht="15.75" x14ac:dyDescent="0.55000000000000004">
      <c r="A65" s="87"/>
      <c r="B65" s="116"/>
      <c r="C65" s="98" t="s">
        <v>105</v>
      </c>
      <c r="D65" s="98"/>
      <c r="E65" s="98"/>
      <c r="F65" s="127"/>
      <c r="G65" s="127"/>
      <c r="H65" s="127"/>
      <c r="I65" s="127"/>
      <c r="J65" s="127"/>
      <c r="K65" s="127"/>
      <c r="L65" s="127"/>
      <c r="M65" s="127"/>
      <c r="N65" s="127"/>
      <c r="O65" s="127"/>
      <c r="P65" s="118"/>
      <c r="Q65" s="87"/>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row>
    <row r="66" spans="1:42" ht="15.75" x14ac:dyDescent="0.55000000000000004">
      <c r="A66" s="87"/>
      <c r="B66" s="116"/>
      <c r="C66" s="99" t="s">
        <v>106</v>
      </c>
      <c r="D66" s="99"/>
      <c r="E66" s="99"/>
      <c r="F66" s="127"/>
      <c r="G66" s="127"/>
      <c r="H66" s="127"/>
      <c r="I66" s="127"/>
      <c r="J66" s="127"/>
      <c r="K66" s="127"/>
      <c r="L66" s="127"/>
      <c r="M66" s="127"/>
      <c r="N66" s="127"/>
      <c r="O66" s="127"/>
      <c r="P66" s="118"/>
      <c r="Q66" s="87"/>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row>
    <row r="67" spans="1:42" ht="15.75" x14ac:dyDescent="0.55000000000000004">
      <c r="A67" s="87"/>
      <c r="B67" s="128"/>
      <c r="C67" s="153"/>
      <c r="D67" s="154"/>
      <c r="E67" s="154"/>
      <c r="F67" s="154"/>
      <c r="G67" s="154"/>
      <c r="H67" s="154"/>
      <c r="I67" s="129"/>
      <c r="J67" s="108" t="s">
        <v>108</v>
      </c>
      <c r="K67" s="127"/>
      <c r="L67" s="127"/>
      <c r="M67" s="127"/>
      <c r="N67" s="127"/>
      <c r="O67" s="127"/>
      <c r="P67" s="118"/>
      <c r="Q67" s="87"/>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row>
    <row r="68" spans="1:42" ht="15.75" x14ac:dyDescent="0.55000000000000004">
      <c r="A68" s="87"/>
      <c r="B68" s="116"/>
      <c r="C68" s="127"/>
      <c r="D68" s="127"/>
      <c r="E68" s="127"/>
      <c r="F68" s="127"/>
      <c r="G68" s="127"/>
      <c r="H68" s="127"/>
      <c r="I68" s="127"/>
      <c r="J68" s="127"/>
      <c r="K68" s="127"/>
      <c r="L68" s="127"/>
      <c r="M68" s="127"/>
      <c r="N68" s="127"/>
      <c r="O68" s="127"/>
      <c r="P68" s="118"/>
      <c r="Q68" s="87"/>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row>
    <row r="69" spans="1:42" ht="15.75" x14ac:dyDescent="0.55000000000000004">
      <c r="A69" s="87"/>
      <c r="B69" s="116"/>
      <c r="C69" s="98" t="s">
        <v>153</v>
      </c>
      <c r="D69" s="98"/>
      <c r="E69" s="98"/>
      <c r="F69" s="127"/>
      <c r="G69" s="127"/>
      <c r="H69" s="127"/>
      <c r="I69" s="127"/>
      <c r="J69" s="127"/>
      <c r="K69" s="127"/>
      <c r="L69" s="127"/>
      <c r="M69" s="127"/>
      <c r="N69" s="127"/>
      <c r="O69" s="127"/>
      <c r="P69" s="118"/>
      <c r="Q69" s="87"/>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row>
    <row r="70" spans="1:42" ht="29.25" customHeight="1" x14ac:dyDescent="0.45">
      <c r="A70" s="87"/>
      <c r="B70" s="116"/>
      <c r="C70" s="152" t="s">
        <v>246</v>
      </c>
      <c r="D70" s="152"/>
      <c r="E70" s="152"/>
      <c r="F70" s="152"/>
      <c r="G70" s="152"/>
      <c r="H70" s="152"/>
      <c r="I70" s="152"/>
      <c r="J70" s="152"/>
      <c r="K70" s="152"/>
      <c r="L70" s="152"/>
      <c r="M70" s="152"/>
      <c r="N70" s="152"/>
      <c r="O70" s="152"/>
      <c r="P70" s="130"/>
      <c r="Q70" s="87"/>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row>
    <row r="71" spans="1:42" ht="15.75" x14ac:dyDescent="0.55000000000000004">
      <c r="A71" s="87"/>
      <c r="B71" s="128"/>
      <c r="C71" s="153"/>
      <c r="D71" s="154"/>
      <c r="E71" s="154"/>
      <c r="F71" s="154"/>
      <c r="G71" s="154"/>
      <c r="H71" s="154"/>
      <c r="I71" s="129"/>
      <c r="J71" s="108" t="s">
        <v>40</v>
      </c>
      <c r="K71" s="127"/>
      <c r="L71" s="127"/>
      <c r="M71" s="127"/>
      <c r="N71" s="127"/>
      <c r="O71" s="127"/>
      <c r="P71" s="118"/>
      <c r="Q71" s="87"/>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row>
    <row r="72" spans="1:42" ht="15.75" x14ac:dyDescent="0.55000000000000004">
      <c r="A72" s="87"/>
      <c r="B72" s="116"/>
      <c r="C72" s="127"/>
      <c r="D72" s="127"/>
      <c r="E72" s="127"/>
      <c r="F72" s="127"/>
      <c r="G72" s="127"/>
      <c r="H72" s="127"/>
      <c r="I72" s="127"/>
      <c r="J72" s="127"/>
      <c r="K72" s="127"/>
      <c r="L72" s="127"/>
      <c r="M72" s="127"/>
      <c r="N72" s="127"/>
      <c r="O72" s="127"/>
      <c r="P72" s="118"/>
      <c r="Q72" s="87"/>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row>
    <row r="73" spans="1:42" ht="15.75" x14ac:dyDescent="0.55000000000000004">
      <c r="A73" s="87"/>
      <c r="B73" s="116"/>
      <c r="C73" s="98" t="s">
        <v>107</v>
      </c>
      <c r="D73" s="98"/>
      <c r="E73" s="98"/>
      <c r="F73" s="127"/>
      <c r="G73" s="127"/>
      <c r="H73" s="127"/>
      <c r="I73" s="127"/>
      <c r="J73" s="127"/>
      <c r="K73" s="127"/>
      <c r="L73" s="127"/>
      <c r="M73" s="127"/>
      <c r="N73" s="127"/>
      <c r="O73" s="127"/>
      <c r="P73" s="118"/>
      <c r="Q73" s="87"/>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row>
    <row r="74" spans="1:42" ht="15.75" x14ac:dyDescent="0.55000000000000004">
      <c r="A74" s="87"/>
      <c r="B74" s="116"/>
      <c r="C74" s="99" t="s">
        <v>181</v>
      </c>
      <c r="D74" s="131"/>
      <c r="E74" s="131"/>
      <c r="F74" s="127"/>
      <c r="G74" s="127"/>
      <c r="H74" s="127"/>
      <c r="I74" s="127"/>
      <c r="J74" s="127"/>
      <c r="K74" s="127"/>
      <c r="L74" s="127"/>
      <c r="M74" s="127"/>
      <c r="N74" s="127"/>
      <c r="O74" s="127"/>
      <c r="P74" s="118"/>
      <c r="Q74" s="87"/>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row>
    <row r="75" spans="1:42" ht="15.75" x14ac:dyDescent="0.55000000000000004">
      <c r="A75" s="87"/>
      <c r="B75" s="116"/>
      <c r="C75" s="151"/>
      <c r="D75" s="151"/>
      <c r="E75" s="151"/>
      <c r="F75" s="151"/>
      <c r="G75" s="151"/>
      <c r="H75" s="151"/>
      <c r="I75" s="127"/>
      <c r="J75" s="108" t="s">
        <v>79</v>
      </c>
      <c r="K75" s="127"/>
      <c r="L75" s="127"/>
      <c r="M75" s="127"/>
      <c r="N75" s="127"/>
      <c r="O75" s="127"/>
      <c r="P75" s="118"/>
      <c r="Q75" s="87"/>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row>
    <row r="76" spans="1:42" ht="15.75" x14ac:dyDescent="0.55000000000000004">
      <c r="A76" s="87"/>
      <c r="B76" s="116"/>
      <c r="C76" s="132"/>
      <c r="D76" s="132"/>
      <c r="E76" s="132"/>
      <c r="F76" s="132"/>
      <c r="G76" s="132"/>
      <c r="H76" s="132"/>
      <c r="I76" s="127"/>
      <c r="J76" s="108"/>
      <c r="K76" s="127"/>
      <c r="L76" s="127"/>
      <c r="M76" s="127"/>
      <c r="N76" s="127"/>
      <c r="O76" s="127"/>
      <c r="P76" s="118"/>
      <c r="Q76" s="87"/>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row>
    <row r="77" spans="1:42" ht="15.75" x14ac:dyDescent="0.55000000000000004">
      <c r="A77" s="87"/>
      <c r="B77" s="116"/>
      <c r="C77" s="98" t="s">
        <v>110</v>
      </c>
      <c r="D77" s="98"/>
      <c r="E77" s="98"/>
      <c r="F77" s="127"/>
      <c r="G77" s="127"/>
      <c r="H77" s="127"/>
      <c r="I77" s="127"/>
      <c r="J77" s="127"/>
      <c r="K77" s="127"/>
      <c r="L77" s="127"/>
      <c r="M77" s="127"/>
      <c r="N77" s="127"/>
      <c r="O77" s="127"/>
      <c r="P77" s="118"/>
      <c r="Q77" s="87"/>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row>
    <row r="78" spans="1:42" ht="15.75" x14ac:dyDescent="0.55000000000000004">
      <c r="A78" s="87"/>
      <c r="B78" s="116"/>
      <c r="C78" s="99" t="s">
        <v>111</v>
      </c>
      <c r="D78" s="131"/>
      <c r="E78" s="131"/>
      <c r="F78" s="127"/>
      <c r="G78" s="127"/>
      <c r="H78" s="127"/>
      <c r="I78" s="127"/>
      <c r="J78" s="127"/>
      <c r="K78" s="127"/>
      <c r="L78" s="127"/>
      <c r="M78" s="127"/>
      <c r="N78" s="127"/>
      <c r="O78" s="127"/>
      <c r="P78" s="118"/>
      <c r="Q78" s="87"/>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row>
    <row r="79" spans="1:42" ht="15.75" x14ac:dyDescent="0.55000000000000004">
      <c r="A79" s="87"/>
      <c r="B79" s="116"/>
      <c r="C79" s="151">
        <v>1</v>
      </c>
      <c r="D79" s="151"/>
      <c r="E79" s="151"/>
      <c r="F79" s="151"/>
      <c r="G79" s="151"/>
      <c r="H79" s="151"/>
      <c r="I79" s="127"/>
      <c r="J79" s="108" t="s">
        <v>79</v>
      </c>
      <c r="K79" s="127"/>
      <c r="L79" s="127"/>
      <c r="M79" s="127"/>
      <c r="N79" s="127"/>
      <c r="O79" s="127"/>
      <c r="P79" s="118"/>
      <c r="Q79" s="87"/>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row>
    <row r="80" spans="1:42" ht="24" customHeight="1" x14ac:dyDescent="0.45">
      <c r="A80" s="87"/>
      <c r="B80" s="124"/>
      <c r="C80" s="125"/>
      <c r="D80" s="125"/>
      <c r="E80" s="125"/>
      <c r="F80" s="125"/>
      <c r="G80" s="125"/>
      <c r="H80" s="125"/>
      <c r="I80" s="125"/>
      <c r="J80" s="125"/>
      <c r="K80" s="125"/>
      <c r="L80" s="125"/>
      <c r="M80" s="125"/>
      <c r="N80" s="125"/>
      <c r="O80" s="125"/>
      <c r="P80" s="126"/>
      <c r="Q80" s="87"/>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row>
    <row r="81" spans="1:42" x14ac:dyDescent="0.45">
      <c r="A81" s="87"/>
      <c r="B81" s="87"/>
      <c r="C81" s="87"/>
      <c r="D81" s="87"/>
      <c r="E81" s="87"/>
      <c r="F81" s="87"/>
      <c r="G81" s="87"/>
      <c r="H81" s="87"/>
      <c r="I81" s="87"/>
      <c r="J81" s="87"/>
      <c r="K81" s="87"/>
      <c r="L81" s="87"/>
      <c r="M81" s="87"/>
      <c r="N81" s="87"/>
      <c r="O81" s="87"/>
      <c r="P81" s="87"/>
      <c r="Q81" s="87"/>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row>
    <row r="82" spans="1:42" x14ac:dyDescent="0.45">
      <c r="A82" s="87"/>
      <c r="B82" s="87"/>
      <c r="C82" s="87"/>
      <c r="D82" s="87"/>
      <c r="E82" s="87"/>
      <c r="F82" s="87"/>
      <c r="G82" s="87"/>
      <c r="H82" s="87"/>
      <c r="I82" s="87"/>
      <c r="J82" s="87"/>
      <c r="K82" s="87"/>
      <c r="L82" s="87"/>
      <c r="M82" s="87"/>
      <c r="N82" s="87"/>
      <c r="O82" s="87"/>
      <c r="P82" s="87"/>
      <c r="Q82" s="87"/>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row>
    <row r="83" spans="1:42" ht="27" customHeight="1" x14ac:dyDescent="0.55000000000000004">
      <c r="A83" s="87"/>
      <c r="B83" s="111"/>
      <c r="C83" s="112" t="s">
        <v>206</v>
      </c>
      <c r="D83" s="113"/>
      <c r="E83" s="113"/>
      <c r="F83" s="114"/>
      <c r="G83" s="114"/>
      <c r="H83" s="114"/>
      <c r="I83" s="114"/>
      <c r="J83" s="114"/>
      <c r="K83" s="114"/>
      <c r="L83" s="114"/>
      <c r="M83" s="114"/>
      <c r="N83" s="114"/>
      <c r="O83" s="114"/>
      <c r="P83" s="115"/>
      <c r="Q83" s="87"/>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row>
    <row r="84" spans="1:42" x14ac:dyDescent="0.45">
      <c r="A84" s="87"/>
      <c r="B84" s="116"/>
      <c r="C84" s="101"/>
      <c r="D84" s="101"/>
      <c r="E84" s="101"/>
      <c r="F84" s="101"/>
      <c r="G84" s="101"/>
      <c r="H84" s="101"/>
      <c r="I84" s="96"/>
      <c r="J84" s="117"/>
      <c r="K84" s="117"/>
      <c r="L84" s="117"/>
      <c r="M84" s="117"/>
      <c r="N84" s="117"/>
      <c r="O84" s="117"/>
      <c r="P84" s="118"/>
      <c r="Q84" s="87"/>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row>
    <row r="85" spans="1:42" ht="15.75" x14ac:dyDescent="0.55000000000000004">
      <c r="A85" s="87"/>
      <c r="B85" s="116"/>
      <c r="C85" s="98" t="s">
        <v>212</v>
      </c>
      <c r="D85" s="98"/>
      <c r="E85" s="98"/>
      <c r="F85" s="127"/>
      <c r="G85" s="127"/>
      <c r="H85" s="127"/>
      <c r="I85" s="127"/>
      <c r="J85" s="127"/>
      <c r="K85" s="127"/>
      <c r="L85" s="127"/>
      <c r="M85" s="127"/>
      <c r="N85" s="127"/>
      <c r="O85" s="127"/>
      <c r="P85" s="118"/>
      <c r="Q85" s="87"/>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row>
    <row r="86" spans="1:42" ht="15.75" x14ac:dyDescent="0.55000000000000004">
      <c r="A86" s="87"/>
      <c r="B86" s="116"/>
      <c r="C86" s="99" t="s">
        <v>215</v>
      </c>
      <c r="D86" s="99"/>
      <c r="E86" s="99"/>
      <c r="F86" s="127"/>
      <c r="G86" s="127"/>
      <c r="H86" s="127"/>
      <c r="I86" s="127"/>
      <c r="J86" s="127"/>
      <c r="K86" s="127"/>
      <c r="L86" s="127"/>
      <c r="M86" s="127"/>
      <c r="N86" s="127"/>
      <c r="O86" s="127"/>
      <c r="P86" s="118"/>
      <c r="Q86" s="87"/>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row>
    <row r="87" spans="1:42" ht="15.75" x14ac:dyDescent="0.55000000000000004">
      <c r="A87" s="87"/>
      <c r="B87" s="128"/>
      <c r="C87" s="153"/>
      <c r="D87" s="154"/>
      <c r="E87" s="154"/>
      <c r="F87" s="154"/>
      <c r="G87" s="154"/>
      <c r="H87" s="154"/>
      <c r="I87" s="129"/>
      <c r="J87" s="108" t="s">
        <v>213</v>
      </c>
      <c r="K87" s="127"/>
      <c r="L87" s="127"/>
      <c r="M87" s="127"/>
      <c r="N87" s="127"/>
      <c r="O87" s="127"/>
      <c r="P87" s="118"/>
      <c r="Q87" s="87"/>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row>
    <row r="88" spans="1:42" x14ac:dyDescent="0.45">
      <c r="A88" s="87"/>
      <c r="B88" s="116"/>
      <c r="C88" s="101"/>
      <c r="D88" s="101"/>
      <c r="E88" s="101"/>
      <c r="F88" s="101"/>
      <c r="G88" s="101"/>
      <c r="H88" s="101"/>
      <c r="I88" s="96"/>
      <c r="J88" s="117"/>
      <c r="K88" s="117"/>
      <c r="L88" s="117"/>
      <c r="M88" s="117"/>
      <c r="N88" s="117"/>
      <c r="O88" s="117"/>
      <c r="P88" s="118"/>
      <c r="Q88" s="87"/>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row>
    <row r="89" spans="1:42" ht="15" x14ac:dyDescent="0.55000000000000004">
      <c r="A89" s="87"/>
      <c r="B89" s="116"/>
      <c r="C89" s="98" t="s">
        <v>220</v>
      </c>
      <c r="D89" s="101"/>
      <c r="E89" s="101"/>
      <c r="F89" s="101"/>
      <c r="G89" s="101"/>
      <c r="H89" s="101"/>
      <c r="I89" s="96"/>
      <c r="J89" s="117"/>
      <c r="K89" s="117"/>
      <c r="L89" s="117"/>
      <c r="M89" s="117"/>
      <c r="N89" s="117"/>
      <c r="O89" s="117"/>
      <c r="P89" s="118"/>
      <c r="Q89" s="87"/>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row>
    <row r="90" spans="1:42" x14ac:dyDescent="0.45">
      <c r="A90" s="87"/>
      <c r="B90" s="116"/>
      <c r="C90" s="99" t="s">
        <v>221</v>
      </c>
      <c r="D90" s="101"/>
      <c r="E90" s="101"/>
      <c r="F90" s="101"/>
      <c r="G90" s="101"/>
      <c r="H90" s="101"/>
      <c r="I90" s="96"/>
      <c r="J90" s="117"/>
      <c r="K90" s="117"/>
      <c r="L90" s="117"/>
      <c r="M90" s="117"/>
      <c r="N90" s="117"/>
      <c r="O90" s="117"/>
      <c r="P90" s="118"/>
      <c r="Q90" s="87"/>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row>
    <row r="91" spans="1:42" ht="6" customHeight="1" x14ac:dyDescent="0.45">
      <c r="A91" s="87"/>
      <c r="B91" s="116"/>
      <c r="C91" s="99"/>
      <c r="D91" s="101"/>
      <c r="E91" s="101"/>
      <c r="F91" s="101"/>
      <c r="G91" s="101"/>
      <c r="H91" s="101"/>
      <c r="I91" s="96"/>
      <c r="J91" s="117"/>
      <c r="K91" s="117"/>
      <c r="L91" s="117"/>
      <c r="M91" s="117"/>
      <c r="N91" s="117"/>
      <c r="O91" s="117"/>
      <c r="P91" s="118"/>
      <c r="Q91" s="87"/>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row>
    <row r="92" spans="1:42" x14ac:dyDescent="0.45">
      <c r="A92" s="87"/>
      <c r="B92" s="116"/>
      <c r="C92" s="119" t="s">
        <v>207</v>
      </c>
      <c r="D92" s="101"/>
      <c r="E92" s="133">
        <f>IF(InputData=TRUE,Uplink,0)</f>
        <v>0</v>
      </c>
      <c r="F92" s="121" t="s">
        <v>211</v>
      </c>
      <c r="G92" s="101"/>
      <c r="H92" s="101"/>
      <c r="I92" s="96"/>
      <c r="J92" s="117"/>
      <c r="K92" s="117"/>
      <c r="L92" s="117"/>
      <c r="M92" s="117"/>
      <c r="N92" s="117"/>
      <c r="O92" s="117"/>
      <c r="P92" s="118"/>
      <c r="Q92" s="87"/>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row>
    <row r="93" spans="1:42" x14ac:dyDescent="0.45">
      <c r="A93" s="87"/>
      <c r="B93" s="116"/>
      <c r="C93" s="119" t="s">
        <v>208</v>
      </c>
      <c r="D93" s="101"/>
      <c r="E93" s="122">
        <f>IF(InputData=TRUE,VLOOKUP(Client_Access,Downlink,2,FALSE),0)</f>
        <v>0</v>
      </c>
      <c r="F93" s="121" t="s">
        <v>46</v>
      </c>
      <c r="G93" s="101"/>
      <c r="H93" s="101"/>
      <c r="I93" s="96"/>
      <c r="J93" s="117"/>
      <c r="K93" s="117"/>
      <c r="L93" s="117"/>
      <c r="M93" s="117"/>
      <c r="N93" s="117"/>
      <c r="O93" s="117"/>
      <c r="P93" s="118"/>
      <c r="Q93" s="87"/>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row>
    <row r="94" spans="1:42" x14ac:dyDescent="0.45">
      <c r="A94" s="87"/>
      <c r="B94" s="116"/>
      <c r="C94" s="119"/>
      <c r="D94" s="101"/>
      <c r="E94" s="122"/>
      <c r="F94" s="121"/>
      <c r="G94" s="101"/>
      <c r="H94" s="101"/>
      <c r="I94" s="96"/>
      <c r="J94" s="117"/>
      <c r="K94" s="117"/>
      <c r="L94" s="117"/>
      <c r="M94" s="117"/>
      <c r="N94" s="117"/>
      <c r="O94" s="117"/>
      <c r="P94" s="118"/>
      <c r="Q94" s="87"/>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row>
    <row r="95" spans="1:42" x14ac:dyDescent="0.45">
      <c r="A95" s="87"/>
      <c r="B95" s="116"/>
      <c r="C95" s="160" t="str">
        <f>IF(Throughput&gt;1.25,"As the total throughput on the Site-to-Site VPN connection exceeds 1.25 Gbps, AWS Transit Gateway shall be used. This calculator does however not cover the AWS Transit Gateway service, refer to https://aws.amazon.com/transit-gateway/.",IF(No_Sites&gt;10,"As the total number of sites to be connected exceeds 10, AWS Transit Gateway shall be used. This calculator does however not cover the AWS Transit Gateway service, refer to https://aws.amazon.com/transit-gateway/.",""))</f>
        <v/>
      </c>
      <c r="D95" s="160"/>
      <c r="E95" s="160"/>
      <c r="F95" s="160"/>
      <c r="G95" s="160"/>
      <c r="H95" s="160"/>
      <c r="I95" s="160"/>
      <c r="J95" s="160"/>
      <c r="K95" s="160"/>
      <c r="L95" s="160"/>
      <c r="M95" s="160"/>
      <c r="N95" s="160"/>
      <c r="O95" s="160"/>
      <c r="P95" s="118"/>
      <c r="Q95" s="87"/>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row>
    <row r="96" spans="1:42" x14ac:dyDescent="0.45">
      <c r="A96" s="87"/>
      <c r="B96" s="116"/>
      <c r="C96" s="160"/>
      <c r="D96" s="160"/>
      <c r="E96" s="160"/>
      <c r="F96" s="160"/>
      <c r="G96" s="160"/>
      <c r="H96" s="160"/>
      <c r="I96" s="160"/>
      <c r="J96" s="160"/>
      <c r="K96" s="160"/>
      <c r="L96" s="160"/>
      <c r="M96" s="160"/>
      <c r="N96" s="160"/>
      <c r="O96" s="160"/>
      <c r="P96" s="118"/>
      <c r="Q96" s="87"/>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row>
    <row r="97" spans="1:42" x14ac:dyDescent="0.45">
      <c r="A97" s="87"/>
      <c r="B97" s="124"/>
      <c r="C97" s="125"/>
      <c r="D97" s="125"/>
      <c r="E97" s="125"/>
      <c r="F97" s="125"/>
      <c r="G97" s="125"/>
      <c r="H97" s="125"/>
      <c r="I97" s="125"/>
      <c r="J97" s="125"/>
      <c r="K97" s="125"/>
      <c r="L97" s="125"/>
      <c r="M97" s="125"/>
      <c r="N97" s="125"/>
      <c r="O97" s="125"/>
      <c r="P97" s="126"/>
      <c r="Q97" s="87"/>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row>
    <row r="98" spans="1:42" x14ac:dyDescent="0.45">
      <c r="A98" s="87"/>
      <c r="B98" s="87"/>
      <c r="C98" s="87"/>
      <c r="D98" s="87"/>
      <c r="E98" s="87"/>
      <c r="F98" s="87"/>
      <c r="G98" s="87"/>
      <c r="H98" s="87"/>
      <c r="I98" s="87"/>
      <c r="J98" s="87"/>
      <c r="K98" s="87"/>
      <c r="L98" s="87"/>
      <c r="M98" s="87"/>
      <c r="N98" s="87"/>
      <c r="O98" s="87"/>
      <c r="P98" s="87"/>
      <c r="Q98" s="87"/>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row>
    <row r="99" spans="1:42" ht="15.75" x14ac:dyDescent="0.55000000000000004">
      <c r="A99" s="87"/>
      <c r="B99" s="134" t="str">
        <f>"AWS Service - estimated service usage and pricing - "&amp;Region_Name</f>
        <v>AWS Service - estimated service usage and pricing - Select Region</v>
      </c>
      <c r="C99" s="135"/>
      <c r="D99" s="135"/>
      <c r="E99" s="135"/>
      <c r="F99" s="135"/>
      <c r="G99" s="135"/>
      <c r="H99" s="135"/>
      <c r="I99" s="135"/>
      <c r="J99" s="135"/>
      <c r="K99" s="135"/>
      <c r="L99" s="135"/>
      <c r="M99" s="135"/>
      <c r="N99" s="135"/>
      <c r="O99" s="135"/>
      <c r="P99" s="135"/>
      <c r="Q99" s="87"/>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row>
    <row r="100" spans="1:42" x14ac:dyDescent="0.45">
      <c r="A100" s="87"/>
      <c r="B100" s="136" t="str">
        <f>IF(InputData=FALSE,"Please provide all input information requested above. The following information is missing:","")</f>
        <v>Please provide all input information requested above. The following information is missing:</v>
      </c>
      <c r="C100" s="137"/>
      <c r="D100" s="137"/>
      <c r="E100" s="137"/>
      <c r="F100" s="137"/>
      <c r="G100" s="137"/>
      <c r="H100" s="137"/>
      <c r="I100" s="137"/>
      <c r="J100" s="137"/>
      <c r="K100" s="137"/>
      <c r="L100" s="137"/>
      <c r="M100" s="137"/>
      <c r="N100" s="137"/>
      <c r="O100" s="137"/>
      <c r="P100" s="137"/>
      <c r="Q100" s="87"/>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row>
    <row r="101" spans="1:42" x14ac:dyDescent="0.45">
      <c r="A101" s="87"/>
      <c r="B101" s="147" t="str">
        <f>IF(InputData=FALSE,VLOOKUP(FALSE,Error_Message,2,FALSE),"")</f>
        <v>Select region for deployment</v>
      </c>
      <c r="C101" s="137"/>
      <c r="D101" s="137"/>
      <c r="E101" s="137"/>
      <c r="F101" s="137"/>
      <c r="G101" s="137"/>
      <c r="H101" s="137"/>
      <c r="I101" s="137"/>
      <c r="J101" s="137"/>
      <c r="K101" s="137"/>
      <c r="L101" s="137"/>
      <c r="M101" s="137"/>
      <c r="N101" s="137"/>
      <c r="O101" s="137"/>
      <c r="P101" s="137"/>
      <c r="Q101" s="87"/>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row>
    <row r="102" spans="1:42" ht="11.25" customHeight="1" x14ac:dyDescent="0.55000000000000004">
      <c r="A102" s="87"/>
      <c r="B102" s="138"/>
      <c r="C102" s="87"/>
      <c r="D102" s="87"/>
      <c r="E102" s="87"/>
      <c r="F102" s="87"/>
      <c r="G102" s="87"/>
      <c r="H102" s="87"/>
      <c r="I102" s="87"/>
      <c r="J102" s="87"/>
      <c r="K102" s="87"/>
      <c r="L102" s="87"/>
      <c r="M102" s="87"/>
      <c r="N102" s="87"/>
      <c r="O102" s="87"/>
      <c r="P102" s="87"/>
      <c r="Q102" s="87"/>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row>
    <row r="103" spans="1:42" ht="14.65" x14ac:dyDescent="0.5">
      <c r="A103" s="87"/>
      <c r="B103" s="139" t="s">
        <v>122</v>
      </c>
      <c r="C103" s="87"/>
      <c r="D103" s="87"/>
      <c r="E103" s="87"/>
      <c r="F103" s="87"/>
      <c r="G103" s="87"/>
      <c r="H103" s="87"/>
      <c r="I103" s="87"/>
      <c r="J103" s="87"/>
      <c r="K103" s="87"/>
      <c r="L103" s="87"/>
      <c r="M103" s="87"/>
      <c r="N103" s="140" t="s">
        <v>143</v>
      </c>
      <c r="O103" s="87"/>
      <c r="P103" s="87"/>
      <c r="Q103" s="87"/>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row>
    <row r="104" spans="1:42" ht="14.65" x14ac:dyDescent="0.5">
      <c r="A104" s="87"/>
      <c r="B104" s="140" t="str">
        <f>IF(InputData=TRUE,EC2_Instance,"")</f>
        <v/>
      </c>
      <c r="C104" s="87"/>
      <c r="D104" s="140" t="str">
        <f>IF(InputData=TRUE,IF(EC2_Instance="No Match","The specified number of cameras with the given stream size exceeds the capacity of a single EC2 instance.","("&amp;EC2_Payment_Name&amp;")"),"")</f>
        <v/>
      </c>
      <c r="E104" s="87"/>
      <c r="F104" s="87"/>
      <c r="G104" s="87"/>
      <c r="H104" s="87"/>
      <c r="I104" s="87"/>
      <c r="J104" s="87"/>
      <c r="K104" s="87"/>
      <c r="L104" s="87"/>
      <c r="M104" s="87"/>
      <c r="N104" s="180" t="str">
        <f>IF(InputData=TRUE,IF(EC2_Instance="No Match","-",EC2_Price),"")</f>
        <v/>
      </c>
      <c r="O104" s="140" t="s">
        <v>127</v>
      </c>
      <c r="P104" s="87"/>
      <c r="Q104" s="87"/>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row>
    <row r="105" spans="1:42" ht="14.65" x14ac:dyDescent="0.5">
      <c r="A105" s="87"/>
      <c r="B105" s="139"/>
      <c r="C105" s="87"/>
      <c r="D105" s="87"/>
      <c r="E105" s="87"/>
      <c r="F105" s="87"/>
      <c r="G105" s="87"/>
      <c r="H105" s="87"/>
      <c r="I105" s="87"/>
      <c r="J105" s="87"/>
      <c r="K105" s="87"/>
      <c r="L105" s="87"/>
      <c r="M105" s="87"/>
      <c r="N105" s="87"/>
      <c r="O105" s="87"/>
      <c r="P105" s="87"/>
      <c r="Q105" s="87"/>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row>
    <row r="106" spans="1:42" ht="14.65" x14ac:dyDescent="0.5">
      <c r="A106" s="87"/>
      <c r="B106" s="139" t="s">
        <v>123</v>
      </c>
      <c r="C106" s="87"/>
      <c r="D106" s="87"/>
      <c r="E106" s="87"/>
      <c r="F106" s="87"/>
      <c r="G106" s="87"/>
      <c r="H106" s="87"/>
      <c r="I106" s="87"/>
      <c r="J106" s="87"/>
      <c r="K106" s="87"/>
      <c r="L106" s="87"/>
      <c r="M106" s="87"/>
      <c r="N106" s="87"/>
      <c r="O106" s="87"/>
      <c r="P106" s="87"/>
      <c r="Q106" s="87"/>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row>
    <row r="107" spans="1:42" ht="14.65" x14ac:dyDescent="0.5">
      <c r="A107" s="87"/>
      <c r="B107" s="140" t="str">
        <f>IF(InputData=TRUE,150&amp; " GiB provisioned general purpose SSD (gp2) volume (default configuration)","")</f>
        <v/>
      </c>
      <c r="C107" s="87"/>
      <c r="D107" s="87"/>
      <c r="E107" s="87"/>
      <c r="F107" s="87"/>
      <c r="G107" s="87"/>
      <c r="H107" s="87"/>
      <c r="I107" s="87"/>
      <c r="J107" s="87"/>
      <c r="K107" s="87"/>
      <c r="L107" s="87"/>
      <c r="M107" s="87"/>
      <c r="N107" s="141" t="str">
        <f>IF(InputData=TRUE,EBS_ConfigDB_Price,"")</f>
        <v/>
      </c>
      <c r="O107" s="140" t="s">
        <v>127</v>
      </c>
      <c r="P107" s="87"/>
      <c r="Q107" s="87"/>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row>
    <row r="108" spans="1:42" ht="14.65" x14ac:dyDescent="0.5">
      <c r="A108" s="87"/>
      <c r="B108" s="139"/>
      <c r="C108" s="87"/>
      <c r="D108" s="87"/>
      <c r="E108" s="87"/>
      <c r="F108" s="87"/>
      <c r="G108" s="87"/>
      <c r="H108" s="87"/>
      <c r="I108" s="87"/>
      <c r="J108" s="87"/>
      <c r="K108" s="87"/>
      <c r="L108" s="87"/>
      <c r="M108" s="87"/>
      <c r="N108" s="87"/>
      <c r="O108" s="87"/>
      <c r="P108" s="87"/>
      <c r="Q108" s="87"/>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row>
    <row r="109" spans="1:42" ht="14.65" x14ac:dyDescent="0.5">
      <c r="A109" s="87"/>
      <c r="B109" s="139" t="s">
        <v>201</v>
      </c>
      <c r="C109" s="87"/>
      <c r="D109" s="87"/>
      <c r="E109" s="87"/>
      <c r="F109" s="87"/>
      <c r="G109" s="87"/>
      <c r="H109" s="87"/>
      <c r="I109" s="87"/>
      <c r="J109" s="87"/>
      <c r="K109" s="87"/>
      <c r="L109" s="87"/>
      <c r="M109" s="87"/>
      <c r="N109" s="87"/>
      <c r="O109" s="87"/>
      <c r="P109" s="87"/>
      <c r="Q109" s="87"/>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row>
    <row r="110" spans="1:42" ht="14.65" x14ac:dyDescent="0.5">
      <c r="A110" s="87"/>
      <c r="B110" s="140" t="str">
        <f>IF(InputData=TRUE,Req_MediaDB&amp; " GiB provisioned general purpose SSD (gp2) volume","")</f>
        <v/>
      </c>
      <c r="C110" s="87"/>
      <c r="D110" s="87"/>
      <c r="E110" s="87"/>
      <c r="F110" s="87"/>
      <c r="G110" s="87"/>
      <c r="H110" s="87"/>
      <c r="I110" s="87"/>
      <c r="J110" s="87"/>
      <c r="K110" s="87"/>
      <c r="L110" s="87"/>
      <c r="M110" s="87"/>
      <c r="N110" s="141" t="str">
        <f>IF(InputData=TRUE,EBS_LiveDB_Price,"")</f>
        <v/>
      </c>
      <c r="O110" s="140" t="s">
        <v>127</v>
      </c>
      <c r="P110" s="87"/>
      <c r="Q110" s="87"/>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row>
    <row r="111" spans="1:42" ht="14.65" x14ac:dyDescent="0.5">
      <c r="A111" s="87"/>
      <c r="B111" s="139"/>
      <c r="C111" s="87"/>
      <c r="D111" s="87"/>
      <c r="E111" s="87"/>
      <c r="F111" s="87"/>
      <c r="G111" s="87"/>
      <c r="H111" s="87"/>
      <c r="I111" s="87"/>
      <c r="J111" s="87"/>
      <c r="K111" s="87"/>
      <c r="L111" s="87"/>
      <c r="M111" s="87"/>
      <c r="N111" s="87"/>
      <c r="O111" s="87"/>
      <c r="P111" s="87"/>
      <c r="Q111" s="87"/>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row>
    <row r="112" spans="1:42" ht="14.65" x14ac:dyDescent="0.5">
      <c r="A112" s="87"/>
      <c r="B112" s="139" t="s">
        <v>125</v>
      </c>
      <c r="C112" s="87"/>
      <c r="D112" s="87"/>
      <c r="E112" s="87"/>
      <c r="F112" s="87"/>
      <c r="G112" s="87"/>
      <c r="H112" s="87"/>
      <c r="I112" s="87"/>
      <c r="J112" s="87"/>
      <c r="K112" s="87"/>
      <c r="L112" s="87"/>
      <c r="M112" s="87"/>
      <c r="N112" s="87"/>
      <c r="O112" s="87"/>
      <c r="P112" s="87"/>
      <c r="Q112" s="87"/>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row>
    <row r="113" spans="1:42" ht="14.65" x14ac:dyDescent="0.5">
      <c r="A113" s="87"/>
      <c r="B113" s="140" t="str">
        <f>IF(InputData=TRUE,Archive&amp;" TiB storage with "&amp;FSX_AZ,"")</f>
        <v/>
      </c>
      <c r="C113" s="140"/>
      <c r="D113" s="140"/>
      <c r="E113" s="87"/>
      <c r="F113" s="87"/>
      <c r="G113" s="87"/>
      <c r="H113" s="87"/>
      <c r="I113" s="87"/>
      <c r="J113" s="87"/>
      <c r="K113" s="87"/>
      <c r="L113" s="87"/>
      <c r="M113" s="87"/>
      <c r="N113" s="141" t="str">
        <f>IF(InputData=TRUE,FSX_Storage_Price,"")</f>
        <v/>
      </c>
      <c r="O113" s="140" t="s">
        <v>127</v>
      </c>
      <c r="P113" s="87"/>
      <c r="Q113" s="87"/>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row>
    <row r="114" spans="1:42" ht="14.65" x14ac:dyDescent="0.5">
      <c r="A114" s="87"/>
      <c r="B114" s="140" t="str">
        <f>IF(InputData=TRUE,FSX_Thoughput_Allocation&amp;" MBps FSX troughput capacity","")</f>
        <v/>
      </c>
      <c r="C114" s="140"/>
      <c r="D114" s="140"/>
      <c r="E114" s="87"/>
      <c r="F114" s="87"/>
      <c r="G114" s="87"/>
      <c r="H114" s="87"/>
      <c r="I114" s="87"/>
      <c r="J114" s="87"/>
      <c r="K114" s="87"/>
      <c r="L114" s="87"/>
      <c r="M114" s="87"/>
      <c r="N114" s="141" t="str">
        <f>IF(InputData=TRUE,FSX_Throughput_Price,"")</f>
        <v/>
      </c>
      <c r="O114" s="140" t="s">
        <v>127</v>
      </c>
      <c r="P114" s="87"/>
      <c r="Q114" s="87"/>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row>
    <row r="115" spans="1:42" ht="14.65" x14ac:dyDescent="0.5">
      <c r="A115" s="87"/>
      <c r="B115" s="139"/>
      <c r="C115" s="87"/>
      <c r="D115" s="87"/>
      <c r="E115" s="87"/>
      <c r="F115" s="87"/>
      <c r="G115" s="87"/>
      <c r="H115" s="87"/>
      <c r="I115" s="87"/>
      <c r="J115" s="87"/>
      <c r="K115" s="87"/>
      <c r="L115" s="87"/>
      <c r="M115" s="87"/>
      <c r="N115" s="87"/>
      <c r="O115" s="87"/>
      <c r="P115" s="87"/>
      <c r="Q115" s="87"/>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row>
    <row r="116" spans="1:42" ht="14.65" x14ac:dyDescent="0.5">
      <c r="A116" s="87"/>
      <c r="B116" s="139" t="s">
        <v>149</v>
      </c>
      <c r="C116" s="87"/>
      <c r="D116" s="87"/>
      <c r="E116" s="87"/>
      <c r="F116" s="87"/>
      <c r="G116" s="87"/>
      <c r="H116" s="87"/>
      <c r="I116" s="87"/>
      <c r="J116" s="87"/>
      <c r="K116" s="87"/>
      <c r="L116" s="87"/>
      <c r="M116" s="87"/>
      <c r="N116" s="87"/>
      <c r="O116" s="87"/>
      <c r="P116" s="87"/>
      <c r="Q116" s="87"/>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row>
    <row r="117" spans="1:42" ht="14.65" x14ac:dyDescent="0.5">
      <c r="A117" s="87"/>
      <c r="B117" s="140" t="str">
        <f>IF(InputData=TRUE,IF(VPN=TRUE,No_Sites&amp;" VPN site-to-site connection","Site-to-Site connectivity is not covered by this calulator (see above)"),"")</f>
        <v/>
      </c>
      <c r="C117" s="87"/>
      <c r="D117" s="87"/>
      <c r="E117" s="87"/>
      <c r="F117" s="87"/>
      <c r="G117" s="87"/>
      <c r="H117" s="87"/>
      <c r="I117" s="87"/>
      <c r="J117" s="87"/>
      <c r="K117" s="87"/>
      <c r="L117" s="87"/>
      <c r="M117" s="87"/>
      <c r="N117" s="141" t="str">
        <f>IF(InputData=TRUE,IF(VPN=TRUE,VPN_Price,""),"")</f>
        <v/>
      </c>
      <c r="O117" s="140" t="str">
        <f>IF(VPN=TRUE,"USD","")</f>
        <v>USD</v>
      </c>
      <c r="P117" s="87"/>
      <c r="Q117" s="87"/>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row>
    <row r="118" spans="1:42" ht="14.65" x14ac:dyDescent="0.5">
      <c r="A118" s="87"/>
      <c r="B118" s="140"/>
      <c r="C118" s="87"/>
      <c r="D118" s="87"/>
      <c r="E118" s="87"/>
      <c r="F118" s="87"/>
      <c r="G118" s="87"/>
      <c r="H118" s="87"/>
      <c r="I118" s="87"/>
      <c r="J118" s="87"/>
      <c r="K118" s="87"/>
      <c r="L118" s="87"/>
      <c r="M118" s="87"/>
      <c r="N118" s="141"/>
      <c r="O118" s="140"/>
      <c r="P118" s="87"/>
      <c r="Q118" s="87"/>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row>
    <row r="119" spans="1:42" ht="14.65" x14ac:dyDescent="0.5">
      <c r="A119" s="87"/>
      <c r="B119" s="139" t="s">
        <v>214</v>
      </c>
      <c r="C119" s="87"/>
      <c r="D119" s="87"/>
      <c r="E119" s="87"/>
      <c r="F119" s="87"/>
      <c r="G119" s="87"/>
      <c r="H119" s="87"/>
      <c r="I119" s="87"/>
      <c r="J119" s="87"/>
      <c r="K119" s="87"/>
      <c r="L119" s="87"/>
      <c r="M119" s="87"/>
      <c r="N119" s="87"/>
      <c r="O119" s="87"/>
      <c r="P119" s="87"/>
      <c r="Q119" s="87"/>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row>
    <row r="120" spans="1:42" ht="14.65" x14ac:dyDescent="0.5">
      <c r="A120" s="87"/>
      <c r="B120" s="140" t="str">
        <f>IF(InputData=TRUE,IF(Client_Access=4,"No charge for data transfer out when running Smart Client in AppStream 2.0",Egress_per_Month&amp; " TB data out transfer for Smart Client usage per month"),"")</f>
        <v/>
      </c>
      <c r="C120" s="87"/>
      <c r="D120" s="87"/>
      <c r="E120" s="87"/>
      <c r="F120" s="87"/>
      <c r="G120" s="87"/>
      <c r="H120" s="87"/>
      <c r="I120" s="87"/>
      <c r="J120" s="87"/>
      <c r="K120" s="87"/>
      <c r="L120" s="87"/>
      <c r="M120" s="87"/>
      <c r="N120" s="141" t="str">
        <f>IF(InputData=TRUE,IF(Client_Access=4,"",Egress_Price),"")</f>
        <v/>
      </c>
      <c r="O120" s="140" t="str">
        <f>IF(Client_Access=4,"","USD")</f>
        <v>USD</v>
      </c>
      <c r="P120" s="87"/>
      <c r="Q120" s="87"/>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row>
    <row r="121" spans="1:42" x14ac:dyDescent="0.45">
      <c r="A121" s="87"/>
      <c r="B121" s="87"/>
      <c r="C121" s="87"/>
      <c r="D121" s="87"/>
      <c r="E121" s="87"/>
      <c r="F121" s="87"/>
      <c r="G121" s="87"/>
      <c r="H121" s="87"/>
      <c r="I121" s="87"/>
      <c r="J121" s="87"/>
      <c r="K121" s="87"/>
      <c r="L121" s="87"/>
      <c r="M121" s="87"/>
      <c r="N121" s="87"/>
      <c r="O121" s="87"/>
      <c r="P121" s="87"/>
      <c r="Q121" s="87"/>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row>
    <row r="122" spans="1:42" ht="14.65" x14ac:dyDescent="0.5">
      <c r="A122" s="87"/>
      <c r="B122" s="139" t="s">
        <v>145</v>
      </c>
      <c r="C122" s="87"/>
      <c r="D122" s="87"/>
      <c r="E122" s="87"/>
      <c r="F122" s="87"/>
      <c r="G122" s="87"/>
      <c r="H122" s="87"/>
      <c r="I122" s="87"/>
      <c r="J122" s="87"/>
      <c r="K122" s="87"/>
      <c r="L122" s="87"/>
      <c r="M122" s="87"/>
      <c r="N122" s="87"/>
      <c r="O122" s="87"/>
      <c r="P122" s="87"/>
      <c r="Q122" s="87"/>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row>
    <row r="123" spans="1:42" ht="14.65" x14ac:dyDescent="0.5">
      <c r="A123" s="87"/>
      <c r="B123" s="87" t="str">
        <f>IF(InputData=TRUE,IF(Client_Access=4,No_Operators&amp;" unique AppStream 2.0 users","AppStream 2.0 is not used"),"")</f>
        <v/>
      </c>
      <c r="C123" s="87"/>
      <c r="D123" s="87"/>
      <c r="E123" s="87"/>
      <c r="F123" s="87"/>
      <c r="G123" s="87"/>
      <c r="H123" s="87"/>
      <c r="I123" s="87"/>
      <c r="J123" s="87"/>
      <c r="K123" s="87"/>
      <c r="L123" s="87"/>
      <c r="M123" s="87"/>
      <c r="N123" s="141" t="str">
        <f>IF(InputData=TRUE,IF(Client_Access=4,AppStream_Users_Price,""),"")</f>
        <v/>
      </c>
      <c r="O123" s="140" t="str">
        <f>IF(Client_Access=4,"USD","")</f>
        <v/>
      </c>
      <c r="P123" s="87"/>
      <c r="Q123" s="87"/>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row>
    <row r="124" spans="1:42" ht="14.65" x14ac:dyDescent="0.5">
      <c r="A124" s="87"/>
      <c r="B124" s="137" t="str">
        <f>IF(Client_Access=4,AppStream_Hours&amp;" hours of monthly streaming on "&amp;AppStream_Instance_Type,"")</f>
        <v/>
      </c>
      <c r="C124" s="137"/>
      <c r="D124" s="137"/>
      <c r="E124" s="137"/>
      <c r="F124" s="137"/>
      <c r="G124" s="137"/>
      <c r="H124" s="137"/>
      <c r="I124" s="137"/>
      <c r="J124" s="137"/>
      <c r="K124" s="137"/>
      <c r="L124" s="137"/>
      <c r="M124" s="137"/>
      <c r="N124" s="142" t="str">
        <f>IF(Client_Access=4,AppStream_Streaming_Price,"")</f>
        <v/>
      </c>
      <c r="O124" s="143" t="str">
        <f>IF(Client_Access=4,"USD","")</f>
        <v/>
      </c>
      <c r="P124" s="137"/>
      <c r="Q124" s="87"/>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row>
    <row r="125" spans="1:42" ht="5.25" customHeight="1" x14ac:dyDescent="0.45">
      <c r="A125" s="87"/>
      <c r="B125" s="135"/>
      <c r="C125" s="135"/>
      <c r="D125" s="135"/>
      <c r="E125" s="135"/>
      <c r="F125" s="135"/>
      <c r="G125" s="135"/>
      <c r="H125" s="135"/>
      <c r="I125" s="135"/>
      <c r="J125" s="135"/>
      <c r="K125" s="135"/>
      <c r="L125" s="135"/>
      <c r="M125" s="135"/>
      <c r="N125" s="135"/>
      <c r="O125" s="135"/>
      <c r="P125" s="135"/>
      <c r="Q125" s="87"/>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row>
    <row r="126" spans="1:42" ht="9.75" customHeight="1" x14ac:dyDescent="0.45">
      <c r="A126" s="87"/>
      <c r="B126" s="87"/>
      <c r="C126" s="87"/>
      <c r="D126" s="87"/>
      <c r="E126" s="87"/>
      <c r="F126" s="87"/>
      <c r="G126" s="87"/>
      <c r="H126" s="87"/>
      <c r="I126" s="87"/>
      <c r="J126" s="87"/>
      <c r="K126" s="87"/>
      <c r="L126" s="87"/>
      <c r="M126" s="87"/>
      <c r="N126" s="87"/>
      <c r="O126" s="87"/>
      <c r="P126" s="87"/>
      <c r="Q126" s="87"/>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row>
    <row r="127" spans="1:42" ht="14.65" x14ac:dyDescent="0.5">
      <c r="A127" s="87"/>
      <c r="B127" s="144" t="s">
        <v>182</v>
      </c>
      <c r="C127" s="144"/>
      <c r="D127" s="144"/>
      <c r="E127" s="144"/>
      <c r="F127" s="144"/>
      <c r="G127" s="144"/>
      <c r="H127" s="144"/>
      <c r="I127" s="144"/>
      <c r="J127" s="144"/>
      <c r="K127" s="144"/>
      <c r="L127" s="144"/>
      <c r="M127" s="144"/>
      <c r="N127" s="145" t="str">
        <f>IF(InputData=TRUE,SUM(N104:N124),"")</f>
        <v/>
      </c>
      <c r="O127" s="139" t="s">
        <v>127</v>
      </c>
      <c r="P127" s="87"/>
      <c r="Q127" s="87"/>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row>
    <row r="128" spans="1:42" ht="14.65" x14ac:dyDescent="0.5">
      <c r="A128" s="87"/>
      <c r="B128" s="144" t="s">
        <v>189</v>
      </c>
      <c r="C128" s="87"/>
      <c r="D128" s="87"/>
      <c r="E128" s="87"/>
      <c r="F128" s="87"/>
      <c r="G128" s="87"/>
      <c r="H128" s="87"/>
      <c r="I128" s="87"/>
      <c r="J128" s="87"/>
      <c r="K128" s="87"/>
      <c r="L128" s="87"/>
      <c r="M128" s="87"/>
      <c r="N128" s="145" t="str">
        <f>IF(InputData=TRUE,(N127*12),"")</f>
        <v/>
      </c>
      <c r="O128" s="139" t="s">
        <v>127</v>
      </c>
      <c r="P128" s="87"/>
      <c r="Q128" s="87"/>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row>
    <row r="129" spans="1:42" ht="14.65" x14ac:dyDescent="0.5">
      <c r="A129" s="87"/>
      <c r="B129" s="144" t="s">
        <v>190</v>
      </c>
      <c r="C129" s="87"/>
      <c r="D129" s="87"/>
      <c r="E129" s="87"/>
      <c r="F129" s="87"/>
      <c r="G129" s="87"/>
      <c r="H129" s="87"/>
      <c r="I129" s="87"/>
      <c r="J129" s="87"/>
      <c r="K129" s="87"/>
      <c r="L129" s="87"/>
      <c r="M129" s="87"/>
      <c r="N129" s="145" t="str">
        <f>IF(InputData=TRUE,(N127/No_Cameras),"")</f>
        <v/>
      </c>
      <c r="O129" s="139" t="s">
        <v>127</v>
      </c>
      <c r="P129" s="87"/>
      <c r="Q129" s="87"/>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row>
    <row r="130" spans="1:42" ht="14.65" x14ac:dyDescent="0.5">
      <c r="A130" s="87"/>
      <c r="B130" s="144" t="s">
        <v>191</v>
      </c>
      <c r="C130" s="87"/>
      <c r="D130" s="87"/>
      <c r="E130" s="87"/>
      <c r="F130" s="87"/>
      <c r="G130" s="87"/>
      <c r="H130" s="87"/>
      <c r="I130" s="87"/>
      <c r="J130" s="87"/>
      <c r="K130" s="87"/>
      <c r="L130" s="87"/>
      <c r="M130" s="87"/>
      <c r="N130" s="145" t="str">
        <f>IF(InputData=TRUE,(N128/No_Cameras),"")</f>
        <v/>
      </c>
      <c r="O130" s="139" t="s">
        <v>127</v>
      </c>
      <c r="P130" s="87"/>
      <c r="Q130" s="87"/>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row>
    <row r="131" spans="1:42" x14ac:dyDescent="0.45">
      <c r="A131" s="87"/>
      <c r="B131" s="144"/>
      <c r="C131" s="87"/>
      <c r="D131" s="87"/>
      <c r="E131" s="87"/>
      <c r="F131" s="87"/>
      <c r="G131" s="87"/>
      <c r="H131" s="87"/>
      <c r="I131" s="87"/>
      <c r="J131" s="87"/>
      <c r="K131" s="87"/>
      <c r="L131" s="87"/>
      <c r="M131" s="87"/>
      <c r="N131" s="87"/>
      <c r="O131" s="87"/>
      <c r="P131" s="87"/>
      <c r="Q131" s="87"/>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row>
    <row r="132" spans="1:42" ht="15.75" x14ac:dyDescent="0.55000000000000004">
      <c r="A132" s="87"/>
      <c r="B132" s="134" t="str">
        <f>"AWS Service - cost split"</f>
        <v>AWS Service - cost split</v>
      </c>
      <c r="C132" s="135"/>
      <c r="D132" s="135"/>
      <c r="E132" s="135"/>
      <c r="F132" s="135"/>
      <c r="G132" s="135"/>
      <c r="H132" s="135"/>
      <c r="I132" s="135"/>
      <c r="J132" s="135"/>
      <c r="K132" s="135"/>
      <c r="L132" s="135"/>
      <c r="M132" s="135"/>
      <c r="N132" s="135"/>
      <c r="O132" s="135"/>
      <c r="P132" s="135"/>
      <c r="Q132" s="87"/>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row>
    <row r="133" spans="1:42" x14ac:dyDescent="0.45">
      <c r="A133" s="87"/>
      <c r="B133" s="87"/>
      <c r="C133" s="87"/>
      <c r="D133" s="87"/>
      <c r="E133" s="87"/>
      <c r="F133" s="87"/>
      <c r="G133" s="87"/>
      <c r="H133" s="87"/>
      <c r="I133" s="87"/>
      <c r="J133" s="87"/>
      <c r="K133" s="87"/>
      <c r="L133" s="87"/>
      <c r="M133" s="87"/>
      <c r="N133" s="87"/>
      <c r="O133" s="87"/>
      <c r="P133" s="87"/>
      <c r="Q133" s="87"/>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row>
    <row r="134" spans="1:42" x14ac:dyDescent="0.45">
      <c r="A134" s="87"/>
      <c r="B134" s="87"/>
      <c r="C134" s="87"/>
      <c r="D134" s="87"/>
      <c r="E134" s="87"/>
      <c r="F134" s="87"/>
      <c r="G134" s="87"/>
      <c r="H134" s="87"/>
      <c r="I134" s="87"/>
      <c r="J134" s="87"/>
      <c r="K134" s="87"/>
      <c r="L134" s="87"/>
      <c r="M134" s="87"/>
      <c r="N134" s="87"/>
      <c r="O134" s="87"/>
      <c r="P134" s="87"/>
      <c r="Q134" s="87"/>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row>
    <row r="135" spans="1:42" x14ac:dyDescent="0.45">
      <c r="A135" s="87"/>
      <c r="B135" s="87"/>
      <c r="C135" s="87"/>
      <c r="D135" s="87"/>
      <c r="E135" s="87"/>
      <c r="F135" s="87"/>
      <c r="G135" s="87"/>
      <c r="H135" s="87"/>
      <c r="I135" s="87"/>
      <c r="J135" s="87"/>
      <c r="K135" s="87"/>
      <c r="L135" s="87"/>
      <c r="M135" s="87"/>
      <c r="N135" s="87"/>
      <c r="O135" s="87"/>
      <c r="P135" s="87"/>
      <c r="Q135" s="87"/>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row>
    <row r="136" spans="1:42" x14ac:dyDescent="0.45">
      <c r="A136" s="87"/>
      <c r="B136" s="87"/>
      <c r="C136" s="87"/>
      <c r="D136" s="87"/>
      <c r="E136" s="87"/>
      <c r="F136" s="87"/>
      <c r="G136" s="87"/>
      <c r="H136" s="87"/>
      <c r="I136" s="87"/>
      <c r="J136" s="87"/>
      <c r="K136" s="87"/>
      <c r="L136" s="87"/>
      <c r="M136" s="87"/>
      <c r="N136" s="87"/>
      <c r="O136" s="87"/>
      <c r="P136" s="87"/>
      <c r="Q136" s="87"/>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row>
    <row r="137" spans="1:42" x14ac:dyDescent="0.45">
      <c r="A137" s="87"/>
      <c r="B137" s="87"/>
      <c r="C137" s="87"/>
      <c r="D137" s="87"/>
      <c r="E137" s="87"/>
      <c r="F137" s="87"/>
      <c r="G137" s="87"/>
      <c r="H137" s="87"/>
      <c r="I137" s="87"/>
      <c r="J137" s="87"/>
      <c r="K137" s="87"/>
      <c r="L137" s="87"/>
      <c r="M137" s="87"/>
      <c r="N137" s="87"/>
      <c r="O137" s="87"/>
      <c r="P137" s="87"/>
      <c r="Q137" s="87"/>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row>
    <row r="138" spans="1:42" x14ac:dyDescent="0.45">
      <c r="A138" s="87"/>
      <c r="B138" s="87"/>
      <c r="C138" s="87"/>
      <c r="D138" s="87"/>
      <c r="E138" s="87"/>
      <c r="F138" s="87"/>
      <c r="G138" s="87"/>
      <c r="H138" s="87"/>
      <c r="I138" s="87"/>
      <c r="J138" s="87"/>
      <c r="K138" s="87"/>
      <c r="L138" s="87"/>
      <c r="M138" s="87"/>
      <c r="N138" s="87"/>
      <c r="O138" s="87"/>
      <c r="P138" s="87"/>
      <c r="Q138" s="87"/>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row>
    <row r="139" spans="1:42" x14ac:dyDescent="0.45">
      <c r="A139" s="87"/>
      <c r="B139" s="87"/>
      <c r="C139" s="87"/>
      <c r="D139" s="87"/>
      <c r="E139" s="87"/>
      <c r="F139" s="87"/>
      <c r="G139" s="87"/>
      <c r="H139" s="87"/>
      <c r="I139" s="87"/>
      <c r="J139" s="87"/>
      <c r="K139" s="87"/>
      <c r="L139" s="87"/>
      <c r="M139" s="87"/>
      <c r="N139" s="87"/>
      <c r="O139" s="87"/>
      <c r="P139" s="87"/>
      <c r="Q139" s="87"/>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row>
    <row r="140" spans="1:42" x14ac:dyDescent="0.45">
      <c r="A140" s="87"/>
      <c r="B140" s="87"/>
      <c r="C140" s="87"/>
      <c r="D140" s="87"/>
      <c r="E140" s="87"/>
      <c r="F140" s="87"/>
      <c r="G140" s="87"/>
      <c r="H140" s="87"/>
      <c r="I140" s="87"/>
      <c r="J140" s="87"/>
      <c r="K140" s="87"/>
      <c r="L140" s="87"/>
      <c r="M140" s="87"/>
      <c r="N140" s="87"/>
      <c r="O140" s="87"/>
      <c r="P140" s="87"/>
      <c r="Q140" s="87"/>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row>
    <row r="141" spans="1:42" x14ac:dyDescent="0.45">
      <c r="A141" s="87"/>
      <c r="B141" s="87"/>
      <c r="C141" s="87"/>
      <c r="D141" s="87"/>
      <c r="E141" s="87"/>
      <c r="F141" s="87"/>
      <c r="G141" s="87"/>
      <c r="H141" s="87"/>
      <c r="I141" s="87"/>
      <c r="J141" s="87"/>
      <c r="K141" s="87"/>
      <c r="L141" s="87"/>
      <c r="M141" s="87"/>
      <c r="N141" s="87"/>
      <c r="O141" s="87"/>
      <c r="P141" s="87"/>
      <c r="Q141" s="87"/>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row>
    <row r="142" spans="1:42" x14ac:dyDescent="0.45">
      <c r="A142" s="87"/>
      <c r="B142" s="87"/>
      <c r="C142" s="87"/>
      <c r="D142" s="87"/>
      <c r="E142" s="87"/>
      <c r="F142" s="87"/>
      <c r="G142" s="87"/>
      <c r="H142" s="87"/>
      <c r="I142" s="87"/>
      <c r="J142" s="87"/>
      <c r="K142" s="87"/>
      <c r="L142" s="87"/>
      <c r="M142" s="87"/>
      <c r="N142" s="87"/>
      <c r="O142" s="87"/>
      <c r="P142" s="87"/>
      <c r="Q142" s="87"/>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row>
    <row r="143" spans="1:42" x14ac:dyDescent="0.45">
      <c r="A143" s="87"/>
      <c r="B143" s="87"/>
      <c r="C143" s="87"/>
      <c r="D143" s="87"/>
      <c r="E143" s="87"/>
      <c r="F143" s="87"/>
      <c r="G143" s="87"/>
      <c r="H143" s="87"/>
      <c r="I143" s="87"/>
      <c r="J143" s="87"/>
      <c r="K143" s="87"/>
      <c r="L143" s="87"/>
      <c r="M143" s="87"/>
      <c r="N143" s="87"/>
      <c r="O143" s="87"/>
      <c r="P143" s="87"/>
      <c r="Q143" s="87"/>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row>
    <row r="144" spans="1:42" x14ac:dyDescent="0.45">
      <c r="A144" s="87"/>
      <c r="B144" s="87"/>
      <c r="C144" s="87"/>
      <c r="D144" s="87"/>
      <c r="E144" s="87"/>
      <c r="F144" s="87"/>
      <c r="G144" s="87"/>
      <c r="H144" s="87"/>
      <c r="I144" s="87"/>
      <c r="J144" s="87"/>
      <c r="K144" s="87"/>
      <c r="L144" s="87"/>
      <c r="M144" s="87"/>
      <c r="N144" s="87"/>
      <c r="O144" s="87"/>
      <c r="P144" s="87"/>
      <c r="Q144" s="87"/>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row>
    <row r="145" spans="1:42" x14ac:dyDescent="0.45">
      <c r="A145" s="87"/>
      <c r="B145" s="87"/>
      <c r="C145" s="87"/>
      <c r="D145" s="87"/>
      <c r="E145" s="87"/>
      <c r="F145" s="87"/>
      <c r="G145" s="87"/>
      <c r="H145" s="87"/>
      <c r="I145" s="87"/>
      <c r="J145" s="87"/>
      <c r="K145" s="87"/>
      <c r="L145" s="87"/>
      <c r="M145" s="87"/>
      <c r="N145" s="87"/>
      <c r="O145" s="87"/>
      <c r="P145" s="87"/>
      <c r="Q145" s="87"/>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row>
    <row r="146" spans="1:42" x14ac:dyDescent="0.45">
      <c r="A146" s="87"/>
      <c r="B146" s="87"/>
      <c r="C146" s="87"/>
      <c r="D146" s="87"/>
      <c r="E146" s="87"/>
      <c r="F146" s="87"/>
      <c r="G146" s="87"/>
      <c r="H146" s="87"/>
      <c r="I146" s="87"/>
      <c r="J146" s="87"/>
      <c r="K146" s="87"/>
      <c r="L146" s="87"/>
      <c r="M146" s="87"/>
      <c r="N146" s="87"/>
      <c r="O146" s="87"/>
      <c r="P146" s="87"/>
      <c r="Q146" s="87"/>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row>
    <row r="147" spans="1:42" x14ac:dyDescent="0.45">
      <c r="A147" s="87"/>
      <c r="B147" s="87"/>
      <c r="C147" s="87"/>
      <c r="D147" s="87"/>
      <c r="E147" s="87"/>
      <c r="F147" s="87"/>
      <c r="G147" s="87"/>
      <c r="H147" s="87"/>
      <c r="I147" s="87"/>
      <c r="J147" s="87"/>
      <c r="K147" s="87"/>
      <c r="L147" s="87"/>
      <c r="M147" s="87"/>
      <c r="N147" s="87"/>
      <c r="O147" s="87"/>
      <c r="P147" s="87"/>
      <c r="Q147" s="87"/>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row>
    <row r="148" spans="1:42" x14ac:dyDescent="0.45">
      <c r="A148" s="87"/>
      <c r="B148" s="87"/>
      <c r="C148" s="87"/>
      <c r="D148" s="87"/>
      <c r="E148" s="87"/>
      <c r="F148" s="87"/>
      <c r="G148" s="87"/>
      <c r="H148" s="87"/>
      <c r="I148" s="87"/>
      <c r="J148" s="87"/>
      <c r="K148" s="87"/>
      <c r="L148" s="87"/>
      <c r="M148" s="87"/>
      <c r="N148" s="87"/>
      <c r="O148" s="87"/>
      <c r="P148" s="87"/>
      <c r="Q148" s="87"/>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row>
    <row r="149" spans="1:42" x14ac:dyDescent="0.45">
      <c r="A149" s="87"/>
      <c r="B149" s="87"/>
      <c r="C149" s="87"/>
      <c r="D149" s="87"/>
      <c r="E149" s="87"/>
      <c r="F149" s="87"/>
      <c r="G149" s="87"/>
      <c r="H149" s="87"/>
      <c r="I149" s="87"/>
      <c r="J149" s="87"/>
      <c r="K149" s="87"/>
      <c r="L149" s="87"/>
      <c r="M149" s="87"/>
      <c r="N149" s="87"/>
      <c r="O149" s="87"/>
      <c r="P149" s="87"/>
      <c r="Q149" s="87"/>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row>
    <row r="150" spans="1:42" ht="10.5" customHeight="1" x14ac:dyDescent="0.45">
      <c r="A150" s="87"/>
      <c r="B150" s="156" t="s">
        <v>249</v>
      </c>
      <c r="C150" s="156"/>
      <c r="D150" s="156"/>
      <c r="E150" s="156"/>
      <c r="F150" s="156"/>
      <c r="G150" s="156"/>
      <c r="H150" s="156"/>
      <c r="I150" s="156"/>
      <c r="J150" s="156"/>
      <c r="K150" s="156"/>
      <c r="L150" s="156"/>
      <c r="M150" s="156"/>
      <c r="N150" s="156"/>
      <c r="O150" s="156"/>
      <c r="P150" s="156"/>
      <c r="Q150" s="87"/>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row>
    <row r="151" spans="1:42" ht="10.5" customHeight="1" x14ac:dyDescent="0.45">
      <c r="A151" s="87"/>
      <c r="B151" s="156"/>
      <c r="C151" s="156"/>
      <c r="D151" s="156"/>
      <c r="E151" s="156"/>
      <c r="F151" s="156"/>
      <c r="G151" s="156"/>
      <c r="H151" s="156"/>
      <c r="I151" s="156"/>
      <c r="J151" s="156"/>
      <c r="K151" s="156"/>
      <c r="L151" s="156"/>
      <c r="M151" s="156"/>
      <c r="N151" s="156"/>
      <c r="O151" s="156"/>
      <c r="P151" s="156"/>
      <c r="Q151" s="87"/>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row>
    <row r="152" spans="1:42" x14ac:dyDescent="0.45">
      <c r="A152" s="87"/>
      <c r="B152" s="156"/>
      <c r="C152" s="156"/>
      <c r="D152" s="156"/>
      <c r="E152" s="156"/>
      <c r="F152" s="156"/>
      <c r="G152" s="156"/>
      <c r="H152" s="156"/>
      <c r="I152" s="156"/>
      <c r="J152" s="156"/>
      <c r="K152" s="156"/>
      <c r="L152" s="156"/>
      <c r="M152" s="156"/>
      <c r="N152" s="156"/>
      <c r="O152" s="156"/>
      <c r="P152" s="156"/>
      <c r="Q152" s="87"/>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row>
    <row r="153" spans="1:42" ht="10.5" customHeight="1" x14ac:dyDescent="0.45">
      <c r="A153" s="87"/>
      <c r="B153" s="146" t="s">
        <v>216</v>
      </c>
      <c r="C153" s="87"/>
      <c r="D153" s="87"/>
      <c r="E153" s="87"/>
      <c r="F153" s="87"/>
      <c r="G153" s="87"/>
      <c r="H153" s="87"/>
      <c r="I153" s="87"/>
      <c r="J153" s="87"/>
      <c r="K153" s="87"/>
      <c r="L153" s="87"/>
      <c r="M153" s="87"/>
      <c r="N153" s="87"/>
      <c r="O153" s="87"/>
      <c r="P153" s="87"/>
      <c r="Q153" s="87"/>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row>
    <row r="154" spans="1:42" x14ac:dyDescent="0.45">
      <c r="A154" s="87"/>
      <c r="B154" s="87"/>
      <c r="C154" s="87"/>
      <c r="D154" s="87"/>
      <c r="E154" s="87"/>
      <c r="F154" s="87"/>
      <c r="G154" s="87"/>
      <c r="H154" s="87"/>
      <c r="I154" s="87"/>
      <c r="J154" s="87"/>
      <c r="K154" s="87"/>
      <c r="L154" s="87"/>
      <c r="M154" s="87"/>
      <c r="N154" s="87"/>
      <c r="O154" s="87"/>
      <c r="P154" s="87"/>
      <c r="Q154" s="87"/>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row>
  </sheetData>
  <sheetProtection algorithmName="SHA-512" hashValue="TIydpdiSltFlQ0M+ggkYkYS+g2M7P+2rC9WMTo9f03E39jWMpQ9zaS1TUoI3dftk6Xw495yZioIHZ5dYq3Pgtw==" saltValue="rKuwhL0PTijM8ximkNzMbQ==" spinCount="100000" sheet="1" objects="1" scenarios="1"/>
  <mergeCells count="20">
    <mergeCell ref="B150:P152"/>
    <mergeCell ref="C52:H52"/>
    <mergeCell ref="C55:H55"/>
    <mergeCell ref="C87:H87"/>
    <mergeCell ref="C95:O96"/>
    <mergeCell ref="C10:H10"/>
    <mergeCell ref="C14:H14"/>
    <mergeCell ref="J34:O34"/>
    <mergeCell ref="C79:H79"/>
    <mergeCell ref="C70:O70"/>
    <mergeCell ref="C59:H59"/>
    <mergeCell ref="J59:O59"/>
    <mergeCell ref="C22:H22"/>
    <mergeCell ref="C26:H26"/>
    <mergeCell ref="C67:H67"/>
    <mergeCell ref="C30:H30"/>
    <mergeCell ref="C71:H71"/>
    <mergeCell ref="C75:H75"/>
    <mergeCell ref="C34:H34"/>
    <mergeCell ref="K22:O23"/>
  </mergeCells>
  <pageMargins left="0.7" right="0.7" top="0.75" bottom="0.75" header="0.3" footer="0.3"/>
  <pageSetup paperSize="9" scale="24" orientation="portrait" verticalDpi="0" r:id="rId1"/>
  <headerFooter>
    <oddFooter>&amp;C&amp;1#&amp;"Calibri"&amp;8&amp;K000000Sensitivity: Internal (R3)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9</xdr:col>
                    <xdr:colOff>0</xdr:colOff>
                    <xdr:row>32</xdr:row>
                    <xdr:rowOff>171450</xdr:rowOff>
                  </from>
                  <to>
                    <xdr:col>14</xdr:col>
                    <xdr:colOff>361950</xdr:colOff>
                    <xdr:row>34</xdr:row>
                    <xdr:rowOff>9525</xdr:rowOff>
                  </to>
                </anchor>
              </controlPr>
            </control>
          </mc:Choice>
        </mc:AlternateContent>
        <mc:AlternateContent xmlns:mc="http://schemas.openxmlformats.org/markup-compatibility/2006">
          <mc:Choice Requires="x14">
            <control shapeId="8195" r:id="rId5" name="Drop Down 3">
              <controlPr defaultSize="0" autoLine="0" autoPict="0">
                <anchor moveWithCells="1">
                  <from>
                    <xdr:col>2</xdr:col>
                    <xdr:colOff>0</xdr:colOff>
                    <xdr:row>74</xdr:row>
                    <xdr:rowOff>0</xdr:rowOff>
                  </from>
                  <to>
                    <xdr:col>7</xdr:col>
                    <xdr:colOff>590550</xdr:colOff>
                    <xdr:row>74</xdr:row>
                    <xdr:rowOff>180975</xdr:rowOff>
                  </to>
                </anchor>
              </controlPr>
            </control>
          </mc:Choice>
        </mc:AlternateContent>
        <mc:AlternateContent xmlns:mc="http://schemas.openxmlformats.org/markup-compatibility/2006">
          <mc:Choice Requires="x14">
            <control shapeId="8196" r:id="rId6" name="Drop Down 4">
              <controlPr defaultSize="0" autoLine="0" autoPict="0">
                <anchor moveWithCells="1">
                  <from>
                    <xdr:col>2</xdr:col>
                    <xdr:colOff>0</xdr:colOff>
                    <xdr:row>78</xdr:row>
                    <xdr:rowOff>0</xdr:rowOff>
                  </from>
                  <to>
                    <xdr:col>8</xdr:col>
                    <xdr:colOff>0</xdr:colOff>
                    <xdr:row>78</xdr:row>
                    <xdr:rowOff>180975</xdr:rowOff>
                  </to>
                </anchor>
              </controlPr>
            </control>
          </mc:Choice>
        </mc:AlternateContent>
        <mc:AlternateContent xmlns:mc="http://schemas.openxmlformats.org/markup-compatibility/2006">
          <mc:Choice Requires="x14">
            <control shapeId="8197" r:id="rId7" name="Drop Down 5">
              <controlPr defaultSize="0" autoLine="0" autoPict="0">
                <anchor moveWithCells="1">
                  <from>
                    <xdr:col>2</xdr:col>
                    <xdr:colOff>0</xdr:colOff>
                    <xdr:row>28</xdr:row>
                    <xdr:rowOff>180975</xdr:rowOff>
                  </from>
                  <to>
                    <xdr:col>8</xdr:col>
                    <xdr:colOff>0</xdr:colOff>
                    <xdr:row>30</xdr:row>
                    <xdr:rowOff>9525</xdr:rowOff>
                  </to>
                </anchor>
              </controlPr>
            </control>
          </mc:Choice>
        </mc:AlternateContent>
        <mc:AlternateContent xmlns:mc="http://schemas.openxmlformats.org/markup-compatibility/2006">
          <mc:Choice Requires="x14">
            <control shapeId="8198" r:id="rId8" name="Drop Down 6">
              <controlPr defaultSize="0" autoLine="0" autoPict="0">
                <anchor moveWithCells="1">
                  <from>
                    <xdr:col>1</xdr:col>
                    <xdr:colOff>238125</xdr:colOff>
                    <xdr:row>58</xdr:row>
                    <xdr:rowOff>19050</xdr:rowOff>
                  </from>
                  <to>
                    <xdr:col>7</xdr:col>
                    <xdr:colOff>595313</xdr:colOff>
                    <xdr:row>59</xdr:row>
                    <xdr:rowOff>38100</xdr:rowOff>
                  </to>
                </anchor>
              </controlPr>
            </control>
          </mc:Choice>
        </mc:AlternateContent>
        <mc:AlternateContent xmlns:mc="http://schemas.openxmlformats.org/markup-compatibility/2006">
          <mc:Choice Requires="x14">
            <control shapeId="8199" r:id="rId9" name="Drop Down 7">
              <controlPr defaultSize="0" autoLine="0" autoPict="0">
                <anchor moveWithCells="1">
                  <from>
                    <xdr:col>2</xdr:col>
                    <xdr:colOff>9525</xdr:colOff>
                    <xdr:row>8</xdr:row>
                    <xdr:rowOff>171450</xdr:rowOff>
                  </from>
                  <to>
                    <xdr:col>8</xdr:col>
                    <xdr:colOff>23813</xdr:colOff>
                    <xdr:row>10</xdr:row>
                    <xdr:rowOff>9525</xdr:rowOff>
                  </to>
                </anchor>
              </controlPr>
            </control>
          </mc:Choice>
        </mc:AlternateContent>
        <mc:AlternateContent xmlns:mc="http://schemas.openxmlformats.org/markup-compatibility/2006">
          <mc:Choice Requires="x14">
            <control shapeId="8201" r:id="rId10" name="Drop Down 9">
              <controlPr defaultSize="0" autoLine="0" autoPict="0">
                <anchor moveWithCells="1">
                  <from>
                    <xdr:col>2</xdr:col>
                    <xdr:colOff>9525</xdr:colOff>
                    <xdr:row>12</xdr:row>
                    <xdr:rowOff>171450</xdr:rowOff>
                  </from>
                  <to>
                    <xdr:col>7</xdr:col>
                    <xdr:colOff>595313</xdr:colOff>
                    <xdr:row>14</xdr:row>
                    <xdr:rowOff>9525</xdr:rowOff>
                  </to>
                </anchor>
              </controlPr>
            </control>
          </mc:Choice>
        </mc:AlternateContent>
        <mc:AlternateContent xmlns:mc="http://schemas.openxmlformats.org/markup-compatibility/2006">
          <mc:Choice Requires="x14">
            <control shapeId="8202" r:id="rId11" name="Option Button 10">
              <controlPr defaultSize="0" autoFill="0" autoLine="0" autoPict="0" altText="Use recommended storage dimensioning ">
                <anchor moveWithCells="1">
                  <from>
                    <xdr:col>2</xdr:col>
                    <xdr:colOff>47625</xdr:colOff>
                    <xdr:row>46</xdr:row>
                    <xdr:rowOff>0</xdr:rowOff>
                  </from>
                  <to>
                    <xdr:col>6</xdr:col>
                    <xdr:colOff>485775</xdr:colOff>
                    <xdr:row>47</xdr:row>
                    <xdr:rowOff>57150</xdr:rowOff>
                  </to>
                </anchor>
              </controlPr>
            </control>
          </mc:Choice>
        </mc:AlternateContent>
        <mc:AlternateContent xmlns:mc="http://schemas.openxmlformats.org/markup-compatibility/2006">
          <mc:Choice Requires="x14">
            <control shapeId="8203" r:id="rId12" name="Option Button 11">
              <controlPr defaultSize="0" autoFill="0" autoLine="0" autoPict="0" altText="Use customized values">
                <anchor moveWithCells="1">
                  <from>
                    <xdr:col>2</xdr:col>
                    <xdr:colOff>47625</xdr:colOff>
                    <xdr:row>47</xdr:row>
                    <xdr:rowOff>19050</xdr:rowOff>
                  </from>
                  <to>
                    <xdr:col>5</xdr:col>
                    <xdr:colOff>595313</xdr:colOff>
                    <xdr:row>48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F9F7-AEA1-40BB-AFE7-A8C24BD89FB3}">
  <dimension ref="A2:P82"/>
  <sheetViews>
    <sheetView topLeftCell="A45" workbookViewId="0">
      <selection activeCell="C82" sqref="C82"/>
    </sheetView>
  </sheetViews>
  <sheetFormatPr defaultRowHeight="14.25" x14ac:dyDescent="0.45"/>
  <cols>
    <col min="1" max="1" width="9.73046875" customWidth="1"/>
    <col min="4" max="4" width="12.59765625" customWidth="1"/>
    <col min="5" max="5" width="17.3984375" bestFit="1" customWidth="1"/>
    <col min="6" max="6" width="17.3984375" customWidth="1"/>
    <col min="7" max="7" width="17.1328125" customWidth="1"/>
    <col min="8" max="8" width="24.59765625" bestFit="1" customWidth="1"/>
    <col min="10" max="10" width="19.3984375" customWidth="1"/>
  </cols>
  <sheetData>
    <row r="2" spans="1:11" x14ac:dyDescent="0.45">
      <c r="A2" t="s">
        <v>95</v>
      </c>
      <c r="D2" s="70" t="s">
        <v>116</v>
      </c>
      <c r="E2">
        <v>1</v>
      </c>
      <c r="F2" t="b">
        <f>IF(Region=1,FALSE,TRUE)</f>
        <v>0</v>
      </c>
      <c r="G2" t="str">
        <f>VLOOKUP(E2,A3:B5,2,)</f>
        <v>Select Region</v>
      </c>
      <c r="J2" s="70" t="s">
        <v>146</v>
      </c>
      <c r="K2">
        <f>IF(EC2_Payment=2,Region,Region+2)</f>
        <v>3</v>
      </c>
    </row>
    <row r="3" spans="1:11" x14ac:dyDescent="0.45">
      <c r="A3">
        <v>1</v>
      </c>
      <c r="B3" t="s">
        <v>135</v>
      </c>
    </row>
    <row r="4" spans="1:11" x14ac:dyDescent="0.45">
      <c r="A4">
        <v>2</v>
      </c>
      <c r="B4" t="s">
        <v>136</v>
      </c>
    </row>
    <row r="5" spans="1:11" x14ac:dyDescent="0.45">
      <c r="A5">
        <v>3</v>
      </c>
      <c r="B5" t="s">
        <v>225</v>
      </c>
    </row>
    <row r="7" spans="1:11" x14ac:dyDescent="0.45">
      <c r="A7" t="s">
        <v>60</v>
      </c>
      <c r="D7" s="70" t="s">
        <v>116</v>
      </c>
      <c r="E7">
        <v>1</v>
      </c>
      <c r="F7" t="b">
        <f>IF(EC2_Payment=1,FALSE,TRUE)</f>
        <v>0</v>
      </c>
      <c r="G7" t="str">
        <f>VLOOKUP(E7,A8:B10,2,)</f>
        <v>Select payment plan</v>
      </c>
    </row>
    <row r="8" spans="1:11" x14ac:dyDescent="0.45">
      <c r="A8">
        <v>1</v>
      </c>
      <c r="B8" t="s">
        <v>140</v>
      </c>
    </row>
    <row r="9" spans="1:11" x14ac:dyDescent="0.45">
      <c r="A9">
        <v>2</v>
      </c>
      <c r="B9" t="s">
        <v>141</v>
      </c>
    </row>
    <row r="10" spans="1:11" x14ac:dyDescent="0.45">
      <c r="A10">
        <v>3</v>
      </c>
      <c r="B10" t="s">
        <v>142</v>
      </c>
    </row>
    <row r="13" spans="1:11" x14ac:dyDescent="0.45">
      <c r="A13" t="s">
        <v>103</v>
      </c>
      <c r="D13" s="70" t="s">
        <v>116</v>
      </c>
      <c r="E13">
        <v>1</v>
      </c>
      <c r="G13" t="str">
        <f>VLOOKUP(E13,A14:B19,2,)</f>
        <v>Select degree of recording</v>
      </c>
    </row>
    <row r="14" spans="1:11" ht="14.65" x14ac:dyDescent="0.5">
      <c r="A14">
        <v>1</v>
      </c>
      <c r="B14" s="68" t="s">
        <v>126</v>
      </c>
      <c r="C14" s="68"/>
    </row>
    <row r="15" spans="1:11" x14ac:dyDescent="0.45">
      <c r="A15">
        <v>2</v>
      </c>
      <c r="B15" s="25">
        <v>0.1</v>
      </c>
      <c r="C15" s="25"/>
    </row>
    <row r="16" spans="1:11" x14ac:dyDescent="0.45">
      <c r="A16">
        <v>3</v>
      </c>
      <c r="B16" s="25">
        <v>0.25</v>
      </c>
      <c r="C16" s="25"/>
    </row>
    <row r="17" spans="1:11" x14ac:dyDescent="0.45">
      <c r="A17">
        <v>4</v>
      </c>
      <c r="B17" s="25">
        <v>0.5</v>
      </c>
      <c r="C17" s="25"/>
    </row>
    <row r="18" spans="1:11" x14ac:dyDescent="0.45">
      <c r="A18">
        <v>5</v>
      </c>
      <c r="B18" s="25">
        <v>1</v>
      </c>
      <c r="C18" s="25"/>
    </row>
    <row r="19" spans="1:11" x14ac:dyDescent="0.45">
      <c r="B19" s="25"/>
      <c r="C19" s="25"/>
    </row>
    <row r="20" spans="1:11" x14ac:dyDescent="0.45">
      <c r="B20" s="25"/>
      <c r="C20" s="25"/>
    </row>
    <row r="21" spans="1:11" x14ac:dyDescent="0.45">
      <c r="A21" t="s">
        <v>226</v>
      </c>
      <c r="D21" s="70" t="s">
        <v>116</v>
      </c>
      <c r="E21" s="72">
        <v>1</v>
      </c>
      <c r="F21" s="72"/>
      <c r="G21" t="s">
        <v>147</v>
      </c>
      <c r="J21" s="70" t="s">
        <v>148</v>
      </c>
      <c r="K21">
        <f>VLOOKUP(E21,G22:H26,2,)</f>
        <v>0</v>
      </c>
    </row>
    <row r="22" spans="1:11" x14ac:dyDescent="0.45">
      <c r="A22">
        <v>1</v>
      </c>
      <c r="B22" s="82" t="s">
        <v>115</v>
      </c>
      <c r="C22" s="75"/>
      <c r="G22">
        <v>1</v>
      </c>
      <c r="H22">
        <v>0</v>
      </c>
    </row>
    <row r="23" spans="1:11" x14ac:dyDescent="0.45">
      <c r="A23">
        <v>2</v>
      </c>
      <c r="B23" s="82" t="s">
        <v>40</v>
      </c>
      <c r="C23" s="75"/>
      <c r="G23">
        <v>2</v>
      </c>
      <c r="H23">
        <v>1</v>
      </c>
    </row>
    <row r="24" spans="1:11" x14ac:dyDescent="0.45">
      <c r="A24">
        <v>3</v>
      </c>
      <c r="B24" s="82" t="s">
        <v>112</v>
      </c>
      <c r="C24" s="75"/>
      <c r="G24">
        <v>3</v>
      </c>
      <c r="H24">
        <v>24</v>
      </c>
    </row>
    <row r="25" spans="1:11" x14ac:dyDescent="0.45">
      <c r="A25">
        <v>4</v>
      </c>
      <c r="B25" s="82" t="s">
        <v>113</v>
      </c>
      <c r="C25" s="75"/>
      <c r="G25">
        <v>4</v>
      </c>
      <c r="H25">
        <f>(24*7)</f>
        <v>168</v>
      </c>
    </row>
    <row r="26" spans="1:11" x14ac:dyDescent="0.45">
      <c r="A26">
        <v>5</v>
      </c>
      <c r="B26" s="82" t="s">
        <v>114</v>
      </c>
      <c r="C26" s="75"/>
      <c r="G26">
        <v>5</v>
      </c>
      <c r="H26">
        <f>(24*31)</f>
        <v>744</v>
      </c>
    </row>
    <row r="29" spans="1:11" x14ac:dyDescent="0.45">
      <c r="A29" t="s">
        <v>117</v>
      </c>
      <c r="D29" s="70" t="s">
        <v>116</v>
      </c>
      <c r="E29" s="72">
        <v>1</v>
      </c>
      <c r="F29" s="72"/>
      <c r="G29" t="str">
        <f>VLOOKUP(E29,A32:B41,2,FALSE)</f>
        <v>Select number of video streams</v>
      </c>
    </row>
    <row r="30" spans="1:11" x14ac:dyDescent="0.45">
      <c r="C30" t="s">
        <v>167</v>
      </c>
      <c r="D30" s="70" t="s">
        <v>162</v>
      </c>
      <c r="E30" s="161" t="s">
        <v>163</v>
      </c>
      <c r="F30" s="161"/>
      <c r="G30" s="161"/>
    </row>
    <row r="31" spans="1:11" x14ac:dyDescent="0.45">
      <c r="D31" s="70" t="s">
        <v>161</v>
      </c>
      <c r="E31" s="70" t="s">
        <v>161</v>
      </c>
      <c r="F31" s="70"/>
      <c r="G31" s="70" t="s">
        <v>164</v>
      </c>
    </row>
    <row r="32" spans="1:11" ht="14.65" x14ac:dyDescent="0.5">
      <c r="A32" s="68">
        <v>1</v>
      </c>
      <c r="B32" s="68" t="s">
        <v>118</v>
      </c>
      <c r="C32" s="68"/>
      <c r="H32" t="s">
        <v>168</v>
      </c>
    </row>
    <row r="33" spans="1:16" ht="14.65" x14ac:dyDescent="0.5">
      <c r="A33" s="68">
        <v>2</v>
      </c>
      <c r="B33" s="68">
        <v>1</v>
      </c>
      <c r="C33" s="68">
        <v>0</v>
      </c>
      <c r="D33">
        <f>(B33*4)</f>
        <v>4</v>
      </c>
      <c r="E33">
        <f t="shared" ref="E33:E41" si="0">(D33*(1-G33))</f>
        <v>4</v>
      </c>
      <c r="F33">
        <v>0</v>
      </c>
      <c r="G33" s="79">
        <v>0</v>
      </c>
      <c r="H33" t="s">
        <v>169</v>
      </c>
    </row>
    <row r="34" spans="1:16" ht="14.65" x14ac:dyDescent="0.5">
      <c r="A34" s="68">
        <v>3</v>
      </c>
      <c r="B34" s="68">
        <v>4</v>
      </c>
      <c r="C34" s="68">
        <v>0</v>
      </c>
      <c r="D34">
        <f>(B34*4)</f>
        <v>16</v>
      </c>
      <c r="E34">
        <f t="shared" si="0"/>
        <v>16</v>
      </c>
      <c r="F34">
        <v>0</v>
      </c>
      <c r="G34" s="79">
        <v>0</v>
      </c>
      <c r="H34" t="s">
        <v>169</v>
      </c>
      <c r="J34" s="78"/>
      <c r="K34" s="78"/>
      <c r="L34" s="78"/>
      <c r="M34" s="78"/>
      <c r="N34" s="78"/>
      <c r="O34" s="78"/>
      <c r="P34" s="78"/>
    </row>
    <row r="35" spans="1:16" ht="14.65" x14ac:dyDescent="0.5">
      <c r="A35" s="68">
        <v>4</v>
      </c>
      <c r="B35" s="68">
        <v>9</v>
      </c>
      <c r="C35" s="68">
        <v>0</v>
      </c>
      <c r="D35">
        <f t="shared" ref="D35:D41" si="1">(B35*4)</f>
        <v>36</v>
      </c>
      <c r="E35">
        <f t="shared" si="0"/>
        <v>16</v>
      </c>
      <c r="F35">
        <v>0</v>
      </c>
      <c r="G35" s="79">
        <v>0.55555555555555558</v>
      </c>
      <c r="H35" t="s">
        <v>169</v>
      </c>
    </row>
    <row r="36" spans="1:16" ht="14.65" x14ac:dyDescent="0.5">
      <c r="A36" s="68">
        <v>5</v>
      </c>
      <c r="B36" s="68">
        <v>16</v>
      </c>
      <c r="C36" s="68">
        <v>0</v>
      </c>
      <c r="D36">
        <f t="shared" si="1"/>
        <v>64</v>
      </c>
      <c r="E36">
        <f t="shared" si="0"/>
        <v>28.444444444444443</v>
      </c>
      <c r="F36">
        <v>0</v>
      </c>
      <c r="G36" s="79">
        <v>0.55555555555555558</v>
      </c>
      <c r="H36" t="s">
        <v>169</v>
      </c>
    </row>
    <row r="37" spans="1:16" ht="14.65" x14ac:dyDescent="0.5">
      <c r="A37" s="68">
        <v>6</v>
      </c>
      <c r="B37" s="68">
        <v>25</v>
      </c>
      <c r="C37" s="68">
        <v>0</v>
      </c>
      <c r="D37">
        <f t="shared" si="1"/>
        <v>100</v>
      </c>
      <c r="E37">
        <f t="shared" si="0"/>
        <v>19.861111111111107</v>
      </c>
      <c r="F37">
        <v>0</v>
      </c>
      <c r="G37" s="79">
        <v>0.80138888888888893</v>
      </c>
      <c r="H37" t="s">
        <v>169</v>
      </c>
    </row>
    <row r="38" spans="1:16" ht="14.65" x14ac:dyDescent="0.5">
      <c r="A38" s="68">
        <v>7</v>
      </c>
      <c r="B38" s="68">
        <v>36</v>
      </c>
      <c r="C38" s="68">
        <v>0</v>
      </c>
      <c r="D38">
        <f t="shared" si="1"/>
        <v>144</v>
      </c>
      <c r="E38">
        <f t="shared" si="0"/>
        <v>5.8666666666666671</v>
      </c>
      <c r="F38">
        <v>0</v>
      </c>
      <c r="G38" s="79">
        <v>0.95925925925925926</v>
      </c>
      <c r="H38" t="s">
        <v>169</v>
      </c>
    </row>
    <row r="39" spans="1:16" ht="14.65" x14ac:dyDescent="0.5">
      <c r="A39" s="68">
        <v>8</v>
      </c>
      <c r="B39" s="68">
        <v>49</v>
      </c>
      <c r="C39" s="68">
        <v>0</v>
      </c>
      <c r="D39">
        <f t="shared" si="1"/>
        <v>196</v>
      </c>
      <c r="E39">
        <f t="shared" si="0"/>
        <v>7.9851851851851858</v>
      </c>
      <c r="F39">
        <v>0</v>
      </c>
      <c r="G39" s="79">
        <v>0.95925925925925926</v>
      </c>
      <c r="H39" t="s">
        <v>170</v>
      </c>
    </row>
    <row r="40" spans="1:16" ht="14.65" x14ac:dyDescent="0.5">
      <c r="A40" s="68">
        <v>9</v>
      </c>
      <c r="B40" s="68">
        <v>68</v>
      </c>
      <c r="C40" s="68">
        <v>0</v>
      </c>
      <c r="D40">
        <f t="shared" si="1"/>
        <v>272</v>
      </c>
      <c r="E40">
        <f t="shared" si="0"/>
        <v>11.081481481481482</v>
      </c>
      <c r="F40">
        <v>0</v>
      </c>
      <c r="G40" s="79">
        <v>0.95925925925925926</v>
      </c>
      <c r="H40" t="s">
        <v>170</v>
      </c>
    </row>
    <row r="41" spans="1:16" ht="14.65" x14ac:dyDescent="0.5">
      <c r="A41" s="68">
        <v>10</v>
      </c>
      <c r="B41" s="68">
        <v>100</v>
      </c>
      <c r="C41" s="68">
        <v>0</v>
      </c>
      <c r="D41">
        <f t="shared" si="1"/>
        <v>400</v>
      </c>
      <c r="E41">
        <f t="shared" si="0"/>
        <v>16.296296296296298</v>
      </c>
      <c r="F41">
        <v>0</v>
      </c>
      <c r="G41" s="79">
        <v>0.95925925925925926</v>
      </c>
      <c r="H41" t="s">
        <v>166</v>
      </c>
    </row>
    <row r="43" spans="1:16" x14ac:dyDescent="0.45">
      <c r="A43" t="s">
        <v>110</v>
      </c>
      <c r="D43" s="70" t="s">
        <v>116</v>
      </c>
      <c r="E43" s="72">
        <v>1</v>
      </c>
      <c r="F43" s="72"/>
    </row>
    <row r="44" spans="1:16" ht="14.65" x14ac:dyDescent="0.5">
      <c r="A44" s="68">
        <v>1</v>
      </c>
      <c r="B44" t="s">
        <v>119</v>
      </c>
    </row>
    <row r="45" spans="1:16" ht="14.65" x14ac:dyDescent="0.5">
      <c r="A45" s="68">
        <v>2</v>
      </c>
      <c r="B45" t="s">
        <v>120</v>
      </c>
    </row>
    <row r="46" spans="1:16" ht="14.65" x14ac:dyDescent="0.5">
      <c r="A46" s="68">
        <v>3</v>
      </c>
      <c r="B46" t="s">
        <v>222</v>
      </c>
    </row>
    <row r="47" spans="1:16" ht="14.65" x14ac:dyDescent="0.5">
      <c r="A47" s="68">
        <v>4</v>
      </c>
      <c r="B47" t="s">
        <v>121</v>
      </c>
    </row>
    <row r="50" spans="1:10" x14ac:dyDescent="0.45">
      <c r="A50" t="s">
        <v>129</v>
      </c>
      <c r="D50" s="70" t="s">
        <v>116</v>
      </c>
      <c r="E50">
        <v>1</v>
      </c>
      <c r="G50">
        <f>VLOOKUP(E50,A51:E53,4,FALSE)</f>
        <v>0</v>
      </c>
      <c r="H50" t="str">
        <f>VLOOKUP(E50,A51:E53,2,FALSE)</f>
        <v>Select FSx deployment</v>
      </c>
      <c r="I50">
        <f>VLOOKUP(E50,A51:E53,5,FALSE)</f>
        <v>0</v>
      </c>
      <c r="J50">
        <f>VLOOKUP(E50,A51:F53,6,FALSE)</f>
        <v>0</v>
      </c>
    </row>
    <row r="51" spans="1:10" x14ac:dyDescent="0.45">
      <c r="A51">
        <v>1</v>
      </c>
      <c r="B51" t="s">
        <v>130</v>
      </c>
    </row>
    <row r="52" spans="1:10" x14ac:dyDescent="0.45">
      <c r="A52">
        <v>2</v>
      </c>
      <c r="B52" t="s">
        <v>131</v>
      </c>
      <c r="E52" t="s">
        <v>96</v>
      </c>
      <c r="F52" t="s">
        <v>223</v>
      </c>
    </row>
    <row r="53" spans="1:10" x14ac:dyDescent="0.45">
      <c r="A53">
        <v>3</v>
      </c>
      <c r="B53" t="s">
        <v>132</v>
      </c>
      <c r="E53" t="s">
        <v>97</v>
      </c>
      <c r="F53" t="s">
        <v>224</v>
      </c>
    </row>
    <row r="56" spans="1:10" x14ac:dyDescent="0.45">
      <c r="A56" t="s">
        <v>61</v>
      </c>
    </row>
    <row r="57" spans="1:10" x14ac:dyDescent="0.45">
      <c r="A57">
        <v>1</v>
      </c>
    </row>
    <row r="59" spans="1:10" x14ac:dyDescent="0.45">
      <c r="A59" t="s">
        <v>205</v>
      </c>
      <c r="C59" t="e">
        <f>IF(Storage_Input=1,Req_MediaDB,Custom_MediaDB)</f>
        <v>#DIV/0!</v>
      </c>
    </row>
    <row r="60" spans="1:10" x14ac:dyDescent="0.45">
      <c r="A60" t="s">
        <v>196</v>
      </c>
      <c r="C60" t="e">
        <f>IF(Storage_Input=1,Req_Archive,Custom_Archive)</f>
        <v>#DIV/0!</v>
      </c>
    </row>
    <row r="64" spans="1:10" x14ac:dyDescent="0.45">
      <c r="A64" s="1" t="s">
        <v>233</v>
      </c>
      <c r="D64" t="s">
        <v>253</v>
      </c>
    </row>
    <row r="65" spans="1:16" x14ac:dyDescent="0.45">
      <c r="A65" t="s">
        <v>95</v>
      </c>
      <c r="C65" t="b">
        <f>Check_Region</f>
        <v>0</v>
      </c>
      <c r="D65" s="71" t="s">
        <v>154</v>
      </c>
    </row>
    <row r="66" spans="1:16" x14ac:dyDescent="0.45">
      <c r="A66" t="s">
        <v>234</v>
      </c>
      <c r="C66" t="b">
        <f>Check_EC2_Payment</f>
        <v>0</v>
      </c>
      <c r="D66" s="71" t="s">
        <v>139</v>
      </c>
    </row>
    <row r="67" spans="1:16" x14ac:dyDescent="0.45">
      <c r="A67" t="s">
        <v>235</v>
      </c>
      <c r="C67" t="b">
        <f>IF(No_Cameras&gt;0,TRUE,FALSE)</f>
        <v>0</v>
      </c>
      <c r="D67" s="71" t="s">
        <v>185</v>
      </c>
    </row>
    <row r="68" spans="1:16" x14ac:dyDescent="0.45">
      <c r="A68" t="s">
        <v>236</v>
      </c>
      <c r="C68" t="b">
        <f>IF(Rec_Stream&gt;0,TRUE,FALSE)</f>
        <v>0</v>
      </c>
      <c r="D68" s="86" t="s">
        <v>186</v>
      </c>
    </row>
    <row r="69" spans="1:16" x14ac:dyDescent="0.45">
      <c r="A69" t="s">
        <v>237</v>
      </c>
      <c r="C69" t="b">
        <f>IF(E13=1, FALSE,TRUE)</f>
        <v>0</v>
      </c>
      <c r="D69" s="71" t="s">
        <v>247</v>
      </c>
    </row>
    <row r="70" spans="1:16" x14ac:dyDescent="0.45">
      <c r="A70" t="s">
        <v>238</v>
      </c>
      <c r="C70" t="b">
        <f>IF(Retention_Time&gt;0,TRUE,FALSE)</f>
        <v>0</v>
      </c>
      <c r="D70" s="71" t="s">
        <v>188</v>
      </c>
    </row>
    <row r="71" spans="1:16" x14ac:dyDescent="0.45">
      <c r="A71" t="s">
        <v>226</v>
      </c>
      <c r="C71" t="b">
        <f>IF(E21=1,FALSE,TRUE)</f>
        <v>0</v>
      </c>
      <c r="D71" s="71" t="s">
        <v>188</v>
      </c>
    </row>
    <row r="72" spans="1:16" x14ac:dyDescent="0.45">
      <c r="A72" t="s">
        <v>239</v>
      </c>
      <c r="C72" t="b">
        <f>IF(E50=1,FALSE,TRUE)</f>
        <v>0</v>
      </c>
      <c r="D72" s="71" t="s">
        <v>180</v>
      </c>
    </row>
    <row r="73" spans="1:16" x14ac:dyDescent="0.45">
      <c r="A73" t="s">
        <v>251</v>
      </c>
      <c r="C73" t="b">
        <f>IF(Storage_Input=1,TRUE,IF(Custom_MediaDB&lt;Req_MediaDB,FALSE,TRUE))</f>
        <v>1</v>
      </c>
      <c r="D73" s="99" t="s">
        <v>203</v>
      </c>
    </row>
    <row r="74" spans="1:16" x14ac:dyDescent="0.45">
      <c r="A74" t="s">
        <v>252</v>
      </c>
      <c r="C74" t="b">
        <f>IF(Storage_Input=1,TRUE,IF(Custom_Archive&lt;Req_Archive,FALSE,TRUE))</f>
        <v>1</v>
      </c>
      <c r="D74" s="99" t="s">
        <v>204</v>
      </c>
    </row>
    <row r="75" spans="1:16" x14ac:dyDescent="0.45">
      <c r="A75" t="s">
        <v>240</v>
      </c>
      <c r="C75" t="b">
        <f>IF(No_Operators&lt;1,FALSE,TRUE)</f>
        <v>0</v>
      </c>
      <c r="D75" s="162" t="s">
        <v>106</v>
      </c>
      <c r="E75" s="162"/>
      <c r="F75" s="162"/>
      <c r="G75" s="162"/>
      <c r="H75" s="162"/>
      <c r="I75" s="162"/>
      <c r="J75" s="162"/>
      <c r="K75" s="162"/>
      <c r="L75" s="162"/>
      <c r="M75" s="162"/>
      <c r="N75" s="162"/>
      <c r="O75" s="162"/>
      <c r="P75" s="162"/>
    </row>
    <row r="76" spans="1:16" x14ac:dyDescent="0.45">
      <c r="A76" t="s">
        <v>241</v>
      </c>
      <c r="C76" t="b">
        <f>IF(Daily_Usage&lt;1,FALSE,TRUE)</f>
        <v>0</v>
      </c>
      <c r="D76" s="162" t="s">
        <v>245</v>
      </c>
      <c r="E76" s="162"/>
      <c r="F76" s="162"/>
      <c r="G76" s="162"/>
      <c r="H76" s="162"/>
      <c r="I76" s="162"/>
      <c r="J76" s="162"/>
      <c r="K76" s="162"/>
      <c r="L76" s="162"/>
      <c r="M76" s="162"/>
      <c r="N76" s="162"/>
      <c r="O76" s="162"/>
      <c r="P76" s="162"/>
    </row>
    <row r="77" spans="1:16" x14ac:dyDescent="0.45">
      <c r="A77" t="s">
        <v>242</v>
      </c>
      <c r="C77" t="b">
        <f>IF(E29=1,FALSE,TRUE)</f>
        <v>0</v>
      </c>
      <c r="D77" s="71" t="s">
        <v>181</v>
      </c>
    </row>
    <row r="78" spans="1:16" x14ac:dyDescent="0.45">
      <c r="A78" t="s">
        <v>210</v>
      </c>
      <c r="C78" t="b">
        <f>IF(Client_Access=1,FALSE,TRUE)</f>
        <v>0</v>
      </c>
      <c r="D78" s="71" t="s">
        <v>111</v>
      </c>
    </row>
    <row r="79" spans="1:16" x14ac:dyDescent="0.45">
      <c r="A79" t="s">
        <v>243</v>
      </c>
      <c r="C79" t="b">
        <f>IF(No_Sites&lt;1,FALSE,TRUE)</f>
        <v>0</v>
      </c>
      <c r="D79" s="71" t="s">
        <v>215</v>
      </c>
    </row>
    <row r="80" spans="1:16" x14ac:dyDescent="0.45">
      <c r="A80" t="s">
        <v>244</v>
      </c>
      <c r="C80" t="b">
        <f>IF(COUNTIF(C65:C79,FALSE)=0,TRUE,FALSE)</f>
        <v>0</v>
      </c>
    </row>
    <row r="81" spans="1:3" x14ac:dyDescent="0.45">
      <c r="A81" t="s">
        <v>250</v>
      </c>
      <c r="C81" t="b">
        <f>IF(COUNTIF(C67:C71,FALSE)=0,TRUE,FALSE)</f>
        <v>0</v>
      </c>
    </row>
    <row r="82" spans="1:3" x14ac:dyDescent="0.45">
      <c r="A82" t="s">
        <v>261</v>
      </c>
      <c r="C82" t="b">
        <f>IF(COUNTIF(C67:C69,FALSE)=0,TRUE,FALSE)</f>
        <v>0</v>
      </c>
    </row>
  </sheetData>
  <mergeCells count="3">
    <mergeCell ref="E30:G30"/>
    <mergeCell ref="D75:P75"/>
    <mergeCell ref="D76:P76"/>
  </mergeCells>
  <pageMargins left="0.7" right="0.7" top="0.75" bottom="0.75" header="0.3" footer="0.3"/>
  <pageSetup paperSize="9" orientation="portrait" verticalDpi="0" r:id="rId1"/>
  <headerFooter>
    <oddFooter>&amp;C&amp;1#&amp;"Calibri"&amp;8&amp;K000000Sensitivity: Internal (R3)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EF5CF-3317-449A-907C-9E80EB7D03F4}">
  <dimension ref="A1:H58"/>
  <sheetViews>
    <sheetView workbookViewId="0">
      <selection activeCell="C87" sqref="C87:H87"/>
    </sheetView>
  </sheetViews>
  <sheetFormatPr defaultRowHeight="14.25" x14ac:dyDescent="0.45"/>
  <cols>
    <col min="1" max="1" width="33.59765625" bestFit="1" customWidth="1"/>
    <col min="2" max="2" width="25.59765625" bestFit="1" customWidth="1"/>
  </cols>
  <sheetData>
    <row r="1" spans="1:8" ht="14.65" x14ac:dyDescent="0.5">
      <c r="A1" s="74" t="s">
        <v>122</v>
      </c>
      <c r="B1" s="69"/>
    </row>
    <row r="2" spans="1:8" ht="14.65" x14ac:dyDescent="0.5">
      <c r="A2" s="76" t="e">
        <f>VLOOKUP(EC2_Instance,EC2_Instances,EC2_Price_Column,FALSE)</f>
        <v>#N/A</v>
      </c>
      <c r="B2" s="69"/>
    </row>
    <row r="3" spans="1:8" ht="14.65" x14ac:dyDescent="0.5">
      <c r="A3" s="74"/>
      <c r="B3" s="69"/>
    </row>
    <row r="4" spans="1:8" ht="14.65" x14ac:dyDescent="0.5">
      <c r="A4" s="74" t="s">
        <v>123</v>
      </c>
      <c r="B4" s="69"/>
    </row>
    <row r="5" spans="1:8" ht="14.65" x14ac:dyDescent="0.5">
      <c r="A5" s="76" t="e">
        <f>VLOOKUP("EBS",AWS_Services,Region,FALSE)*150</f>
        <v>#VALUE!</v>
      </c>
      <c r="B5" s="69"/>
    </row>
    <row r="6" spans="1:8" ht="14.65" x14ac:dyDescent="0.5">
      <c r="A6" s="74"/>
      <c r="B6" s="69"/>
    </row>
    <row r="7" spans="1:8" ht="14.65" x14ac:dyDescent="0.5">
      <c r="A7" s="74" t="s">
        <v>124</v>
      </c>
      <c r="B7" s="69"/>
    </row>
    <row r="8" spans="1:8" ht="14.65" x14ac:dyDescent="0.5">
      <c r="A8" s="76" t="e">
        <f>VLOOKUP("EBS",AWS_Services,Region,FALSE)*MediaDB</f>
        <v>#VALUE!</v>
      </c>
      <c r="B8" s="69"/>
    </row>
    <row r="9" spans="1:8" ht="14.65" x14ac:dyDescent="0.5">
      <c r="A9" s="74"/>
      <c r="B9" s="69"/>
    </row>
    <row r="10" spans="1:8" ht="14.65" x14ac:dyDescent="0.5">
      <c r="A10" s="74" t="s">
        <v>125</v>
      </c>
      <c r="B10" s="69"/>
    </row>
    <row r="11" spans="1:8" ht="14.65" x14ac:dyDescent="0.5">
      <c r="A11" s="73" t="s">
        <v>61</v>
      </c>
      <c r="B11" s="76" t="e">
        <f>VLOOKUP(Input!I50,AWS_Services,Region,FALSE)*1024*Archive</f>
        <v>#N/A</v>
      </c>
      <c r="G11" s="1" t="s">
        <v>100</v>
      </c>
    </row>
    <row r="12" spans="1:8" ht="14.65" x14ac:dyDescent="0.5">
      <c r="A12" s="73" t="s">
        <v>227</v>
      </c>
      <c r="B12" s="76" t="e">
        <f>(No_Cameras*Rec_Stream*Rec_degree)/8*130%</f>
        <v>#VALUE!</v>
      </c>
      <c r="C12" t="s">
        <v>174</v>
      </c>
      <c r="G12" t="s">
        <v>99</v>
      </c>
    </row>
    <row r="13" spans="1:8" ht="14.65" x14ac:dyDescent="0.5">
      <c r="A13" s="73"/>
      <c r="B13" s="76"/>
      <c r="G13">
        <v>0</v>
      </c>
      <c r="H13">
        <v>8</v>
      </c>
    </row>
    <row r="14" spans="1:8" ht="14.65" x14ac:dyDescent="0.5">
      <c r="A14" s="73" t="s">
        <v>228</v>
      </c>
      <c r="B14" s="80" t="e">
        <f>SUM(B12:B13)</f>
        <v>#VALUE!</v>
      </c>
      <c r="C14" s="35" t="e">
        <f>ROUNDUP(B14,0)</f>
        <v>#VALUE!</v>
      </c>
      <c r="G14">
        <v>8</v>
      </c>
      <c r="H14">
        <v>16</v>
      </c>
    </row>
    <row r="15" spans="1:8" ht="14.65" x14ac:dyDescent="0.5">
      <c r="A15" s="73" t="s">
        <v>229</v>
      </c>
      <c r="B15" s="77" t="e">
        <f>VLOOKUP((C14-1),G13:H72,2,TRUE)</f>
        <v>#VALUE!</v>
      </c>
      <c r="G15">
        <f>G14*2</f>
        <v>16</v>
      </c>
      <c r="H15">
        <v>32</v>
      </c>
    </row>
    <row r="16" spans="1:8" ht="14.65" x14ac:dyDescent="0.5">
      <c r="A16" s="73" t="s">
        <v>175</v>
      </c>
      <c r="B16" s="76" t="e">
        <f>VLOOKUP(Input!J50,AWS_Services,Region,FALSE)*B15</f>
        <v>#N/A</v>
      </c>
      <c r="C16" s="81"/>
      <c r="G16">
        <f t="shared" ref="G16:H16" si="0">G15*2</f>
        <v>32</v>
      </c>
      <c r="H16">
        <v>32</v>
      </c>
    </row>
    <row r="17" spans="1:8" ht="14.65" x14ac:dyDescent="0.5">
      <c r="A17" s="73"/>
      <c r="B17" s="69"/>
      <c r="G17">
        <f t="shared" ref="G15:H20" si="1">G16*2</f>
        <v>64</v>
      </c>
      <c r="H17">
        <v>128</v>
      </c>
    </row>
    <row r="18" spans="1:8" ht="14.65" x14ac:dyDescent="0.5">
      <c r="A18" s="74" t="s">
        <v>149</v>
      </c>
      <c r="B18" s="69"/>
      <c r="G18">
        <f t="shared" si="1"/>
        <v>128</v>
      </c>
      <c r="H18">
        <v>256</v>
      </c>
    </row>
    <row r="19" spans="1:8" ht="14.65" x14ac:dyDescent="0.5">
      <c r="A19" s="73" t="s">
        <v>230</v>
      </c>
      <c r="B19" s="76" t="e">
        <f>VLOOKUP("VPN Connection",AWS_Services,Region,FALSE)*No_Sites</f>
        <v>#VALUE!</v>
      </c>
      <c r="G19">
        <f t="shared" si="1"/>
        <v>256</v>
      </c>
      <c r="H19">
        <v>512</v>
      </c>
    </row>
    <row r="20" spans="1:8" ht="14.65" x14ac:dyDescent="0.5">
      <c r="A20" s="73" t="s">
        <v>98</v>
      </c>
      <c r="B20" s="69">
        <f>(Up_Throughput+(Down_Throughput/1024))</f>
        <v>0</v>
      </c>
      <c r="C20" t="s">
        <v>46</v>
      </c>
      <c r="G20">
        <f t="shared" si="1"/>
        <v>512</v>
      </c>
      <c r="H20">
        <v>1024</v>
      </c>
    </row>
    <row r="21" spans="1:8" ht="14.65" x14ac:dyDescent="0.5">
      <c r="A21" s="73" t="s">
        <v>58</v>
      </c>
      <c r="B21" s="69" t="b">
        <f>IF(Throughput&gt;1.25,FALSE,IF(No_Sites&gt;10,FALSE,TRUE))</f>
        <v>1</v>
      </c>
      <c r="G21">
        <f>G20*2</f>
        <v>1024</v>
      </c>
      <c r="H21">
        <v>2048</v>
      </c>
    </row>
    <row r="22" spans="1:8" ht="14.65" x14ac:dyDescent="0.5">
      <c r="A22" s="73"/>
      <c r="B22" s="69"/>
      <c r="G22">
        <f>G21*2</f>
        <v>2048</v>
      </c>
      <c r="H22" t="b">
        <v>0</v>
      </c>
    </row>
    <row r="23" spans="1:8" ht="14.65" x14ac:dyDescent="0.5">
      <c r="A23" s="74" t="s">
        <v>128</v>
      </c>
      <c r="B23" s="69"/>
    </row>
    <row r="24" spans="1:8" x14ac:dyDescent="0.45">
      <c r="A24" t="s">
        <v>165</v>
      </c>
      <c r="B24" t="e">
        <f>VLOOKUP(Viewed_Cameras,Video_Streams,(Client_Access+1),FALSE)</f>
        <v>#N/A</v>
      </c>
      <c r="C24" t="s">
        <v>11</v>
      </c>
    </row>
    <row r="25" spans="1:8" x14ac:dyDescent="0.45">
      <c r="A25" t="s">
        <v>155</v>
      </c>
      <c r="B25" t="e">
        <f>(B24*3600/1024/8)</f>
        <v>#N/A</v>
      </c>
      <c r="C25" t="s">
        <v>156</v>
      </c>
    </row>
    <row r="26" spans="1:8" x14ac:dyDescent="0.45">
      <c r="A26" t="s">
        <v>157</v>
      </c>
      <c r="B26" t="e">
        <f>(B25*1.08)</f>
        <v>#N/A</v>
      </c>
      <c r="C26" t="s">
        <v>156</v>
      </c>
    </row>
    <row r="27" spans="1:8" x14ac:dyDescent="0.45">
      <c r="A27" t="s">
        <v>160</v>
      </c>
      <c r="B27" s="77" t="e">
        <f>ROUNDUP((B26*No_Operators*Daily_Usage*30.4/1024),2)</f>
        <v>#N/A</v>
      </c>
      <c r="C27" t="s">
        <v>28</v>
      </c>
    </row>
    <row r="28" spans="1:8" ht="14.65" x14ac:dyDescent="0.5">
      <c r="A28" s="73" t="s">
        <v>158</v>
      </c>
      <c r="B28" s="77" t="e">
        <f>VLOOKUP("Egress",AWS_Services,Region,FALSE)*B27*1024</f>
        <v>#VALUE!</v>
      </c>
      <c r="C28" t="s">
        <v>159</v>
      </c>
    </row>
    <row r="29" spans="1:8" ht="14.65" x14ac:dyDescent="0.5">
      <c r="A29" s="73"/>
      <c r="B29" s="69"/>
    </row>
    <row r="30" spans="1:8" ht="14.65" x14ac:dyDescent="0.5">
      <c r="A30" s="73"/>
      <c r="B30" s="69"/>
    </row>
    <row r="31" spans="1:8" ht="14.65" x14ac:dyDescent="0.5">
      <c r="A31" s="73"/>
      <c r="B31" s="69"/>
    </row>
    <row r="32" spans="1:8" x14ac:dyDescent="0.45">
      <c r="A32" s="69"/>
      <c r="B32" s="69"/>
    </row>
    <row r="33" spans="1:2" ht="14.65" x14ac:dyDescent="0.5">
      <c r="A33" s="74" t="s">
        <v>145</v>
      </c>
      <c r="B33" s="69"/>
    </row>
    <row r="34" spans="1:2" x14ac:dyDescent="0.45">
      <c r="A34" s="69" t="str">
        <f>IF(Client_Access=4,No_Operators&amp;" unique AppStream 2.0 users","AppStream 2.0 is not used")</f>
        <v>AppStream 2.0 is not used</v>
      </c>
      <c r="B34" s="77" t="e">
        <f>VLOOKUP("AppStream_User",AWS_Services,Region,FALSE)*No_Operators</f>
        <v>#VALUE!</v>
      </c>
    </row>
    <row r="35" spans="1:2" x14ac:dyDescent="0.45">
      <c r="A35" t="s">
        <v>171</v>
      </c>
      <c r="B35" t="e">
        <f>VLOOKUP(Viewed_Cameras,Video_Streams,Client_Access+3,FALSE)</f>
        <v>#N/A</v>
      </c>
    </row>
    <row r="36" spans="1:2" x14ac:dyDescent="0.45">
      <c r="A36" t="s">
        <v>172</v>
      </c>
      <c r="B36">
        <f>ROUNDUP(No_Operators*Daily_Usage*30.4,0)</f>
        <v>0</v>
      </c>
    </row>
    <row r="37" spans="1:2" x14ac:dyDescent="0.45">
      <c r="A37" t="s">
        <v>173</v>
      </c>
      <c r="B37" t="e">
        <f>VLOOKUP(AppStream_Instance_Type,AWS_Services,Region,FALSE)*AppStream_Hours</f>
        <v>#N/A</v>
      </c>
    </row>
    <row r="40" spans="1:2" x14ac:dyDescent="0.45">
      <c r="A40" t="s">
        <v>209</v>
      </c>
    </row>
    <row r="41" spans="1:2" x14ac:dyDescent="0.45">
      <c r="A41" t="s">
        <v>210</v>
      </c>
      <c r="B41" t="s">
        <v>231</v>
      </c>
    </row>
    <row r="42" spans="1:2" x14ac:dyDescent="0.45">
      <c r="A42">
        <v>1</v>
      </c>
      <c r="B42">
        <v>0</v>
      </c>
    </row>
    <row r="43" spans="1:2" x14ac:dyDescent="0.45">
      <c r="A43">
        <v>2</v>
      </c>
      <c r="B43" t="e">
        <f>(B25*No_Operators)</f>
        <v>#N/A</v>
      </c>
    </row>
    <row r="44" spans="1:2" x14ac:dyDescent="0.45">
      <c r="A44">
        <v>3</v>
      </c>
      <c r="B44" t="e">
        <f>(B25*No_Operators)</f>
        <v>#N/A</v>
      </c>
    </row>
    <row r="45" spans="1:2" x14ac:dyDescent="0.45">
      <c r="A45">
        <v>4</v>
      </c>
      <c r="B45">
        <f>4*No_Operators*(1+Network_Overhead)</f>
        <v>0</v>
      </c>
    </row>
    <row r="53" spans="1:2" ht="14.65" x14ac:dyDescent="0.5">
      <c r="A53" s="73" t="s">
        <v>176</v>
      </c>
      <c r="B53" s="3" t="e">
        <f>EC2_Price</f>
        <v>#N/A</v>
      </c>
    </row>
    <row r="54" spans="1:2" ht="14.65" x14ac:dyDescent="0.5">
      <c r="A54" s="73" t="s">
        <v>177</v>
      </c>
      <c r="B54" s="3" t="e">
        <f>EBS_ConfigDB_Price+EBS_LiveDB_Price</f>
        <v>#VALUE!</v>
      </c>
    </row>
    <row r="55" spans="1:2" ht="14.65" x14ac:dyDescent="0.5">
      <c r="A55" s="73" t="s">
        <v>178</v>
      </c>
      <c r="B55" s="3" t="e">
        <f>FSX_Storage_Price+FSX_Throughput_Price</f>
        <v>#N/A</v>
      </c>
    </row>
    <row r="56" spans="1:2" ht="14.65" x14ac:dyDescent="0.5">
      <c r="A56" s="73" t="s">
        <v>248</v>
      </c>
      <c r="B56" s="3" t="e">
        <f>IF(VPN=TRUE,VPN_Price,0)</f>
        <v>#VALUE!</v>
      </c>
    </row>
    <row r="57" spans="1:2" ht="14.65" x14ac:dyDescent="0.5">
      <c r="A57" s="73" t="s">
        <v>232</v>
      </c>
      <c r="B57" s="3" t="e">
        <f>IF(Client_Access=4,0,Egress_Price)</f>
        <v>#VALUE!</v>
      </c>
    </row>
    <row r="58" spans="1:2" ht="14.65" x14ac:dyDescent="0.5">
      <c r="A58" s="73" t="s">
        <v>145</v>
      </c>
      <c r="B58" s="3">
        <f>IF(Client_Access=4,AppStream_Users_Price+AppStream_Streaming_Price,0)</f>
        <v>0</v>
      </c>
    </row>
  </sheetData>
  <pageMargins left="0.7" right="0.7" top="0.75" bottom="0.75" header="0.3" footer="0.3"/>
  <pageSetup paperSize="9" orientation="portrait" verticalDpi="0" r:id="rId1"/>
  <headerFooter>
    <oddFooter>&amp;C&amp;1#&amp;"Calibri"&amp;8&amp;K000000Sensitivity: Internal (R3)</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51"/>
  <sheetViews>
    <sheetView zoomScale="110" zoomScaleNormal="110" workbookViewId="0">
      <selection activeCell="C87" sqref="C87:H87"/>
    </sheetView>
  </sheetViews>
  <sheetFormatPr defaultRowHeight="14.25" outlineLevelRow="1" x14ac:dyDescent="0.45"/>
  <cols>
    <col min="1" max="1" width="25.1328125" style="2" customWidth="1"/>
    <col min="2" max="2" width="11.3984375" bestFit="1" customWidth="1"/>
    <col min="3" max="3" width="8.1328125" customWidth="1"/>
    <col min="4" max="4" width="10.1328125" bestFit="1" customWidth="1"/>
    <col min="5" max="5" width="19.1328125" customWidth="1"/>
    <col min="6" max="6" width="13.86328125" bestFit="1" customWidth="1"/>
    <col min="7" max="7" width="10.73046875" bestFit="1" customWidth="1"/>
    <col min="8" max="8" width="8.1328125" customWidth="1"/>
    <col min="9" max="9" width="10.3984375" bestFit="1" customWidth="1"/>
    <col min="10" max="10" width="5.3984375" customWidth="1"/>
    <col min="11" max="11" width="13.86328125" bestFit="1" customWidth="1"/>
    <col min="12" max="13" width="5.86328125" bestFit="1" customWidth="1"/>
  </cols>
  <sheetData>
    <row r="2" spans="1:9" x14ac:dyDescent="0.45">
      <c r="A2" s="36" t="s">
        <v>42</v>
      </c>
      <c r="B2" s="47">
        <f>(No_Cameras)</f>
        <v>0</v>
      </c>
      <c r="G2" s="23" t="s">
        <v>31</v>
      </c>
      <c r="H2" s="23" t="s">
        <v>33</v>
      </c>
    </row>
    <row r="3" spans="1:9" x14ac:dyDescent="0.45">
      <c r="A3" s="36" t="s">
        <v>41</v>
      </c>
      <c r="B3" s="48">
        <f>(Rec_Stream)</f>
        <v>0</v>
      </c>
      <c r="C3" t="s">
        <v>11</v>
      </c>
      <c r="F3" s="1" t="s">
        <v>29</v>
      </c>
      <c r="G3" s="20">
        <v>2.35</v>
      </c>
      <c r="H3" s="4"/>
      <c r="I3" t="s">
        <v>11</v>
      </c>
    </row>
    <row r="4" spans="1:9" x14ac:dyDescent="0.45">
      <c r="A4" s="36" t="s">
        <v>63</v>
      </c>
      <c r="B4" s="49" t="str">
        <f>Rec_degree</f>
        <v>Select degree of recording</v>
      </c>
      <c r="C4" t="s">
        <v>69</v>
      </c>
      <c r="F4" s="1" t="s">
        <v>30</v>
      </c>
      <c r="G4" s="21">
        <v>4</v>
      </c>
      <c r="H4" s="6">
        <v>3</v>
      </c>
      <c r="I4" t="s">
        <v>11</v>
      </c>
    </row>
    <row r="5" spans="1:9" x14ac:dyDescent="0.45">
      <c r="A5" s="36" t="s">
        <v>39</v>
      </c>
      <c r="B5" s="50">
        <f>24*1</f>
        <v>24</v>
      </c>
      <c r="C5" t="s">
        <v>40</v>
      </c>
      <c r="F5" s="1" t="s">
        <v>32</v>
      </c>
      <c r="G5" s="22">
        <v>30</v>
      </c>
      <c r="H5" s="9">
        <v>20</v>
      </c>
      <c r="I5" t="s">
        <v>11</v>
      </c>
    </row>
    <row r="6" spans="1:9" x14ac:dyDescent="0.45">
      <c r="A6" s="36" t="s">
        <v>74</v>
      </c>
      <c r="B6" s="51">
        <v>0.05</v>
      </c>
      <c r="C6" t="s">
        <v>69</v>
      </c>
      <c r="F6" s="1"/>
      <c r="G6" s="15"/>
      <c r="H6" s="15"/>
    </row>
    <row r="7" spans="1:9" x14ac:dyDescent="0.45">
      <c r="A7" s="36" t="s">
        <v>75</v>
      </c>
      <c r="B7" s="51">
        <v>0.02</v>
      </c>
      <c r="C7" t="s">
        <v>70</v>
      </c>
      <c r="F7" s="55" t="s">
        <v>83</v>
      </c>
      <c r="G7" s="15" t="s">
        <v>87</v>
      </c>
      <c r="H7" s="15"/>
    </row>
    <row r="8" spans="1:9" x14ac:dyDescent="0.45">
      <c r="A8" s="36" t="s">
        <v>76</v>
      </c>
      <c r="B8" s="49">
        <v>1</v>
      </c>
      <c r="C8" t="s">
        <v>70</v>
      </c>
      <c r="F8" s="55" t="s">
        <v>86</v>
      </c>
      <c r="G8" s="15" t="s">
        <v>85</v>
      </c>
    </row>
    <row r="9" spans="1:9" x14ac:dyDescent="0.45">
      <c r="A9" s="36" t="s">
        <v>39</v>
      </c>
      <c r="B9" s="50">
        <f>(Retention_Time*Time_Factor)</f>
        <v>0</v>
      </c>
      <c r="C9" t="s">
        <v>40</v>
      </c>
      <c r="F9" s="56" t="s">
        <v>84</v>
      </c>
      <c r="G9" t="s">
        <v>82</v>
      </c>
      <c r="H9" s="15"/>
    </row>
    <row r="10" spans="1:9" outlineLevel="1" x14ac:dyDescent="0.45">
      <c r="F10" s="55" t="s">
        <v>94</v>
      </c>
      <c r="G10" s="15" t="s">
        <v>92</v>
      </c>
      <c r="H10" s="15"/>
    </row>
    <row r="11" spans="1:9" outlineLevel="1" x14ac:dyDescent="0.45">
      <c r="A11" s="59" t="s">
        <v>24</v>
      </c>
      <c r="B11" s="60" t="e">
        <f>A19/B2*1000/128+1</f>
        <v>#DIV/0!</v>
      </c>
      <c r="C11" s="61" t="s">
        <v>43</v>
      </c>
      <c r="D11" s="4"/>
      <c r="H11" s="15"/>
    </row>
    <row r="12" spans="1:9" outlineLevel="1" x14ac:dyDescent="0.45">
      <c r="A12" s="62" t="s">
        <v>24</v>
      </c>
      <c r="B12" s="14" t="e">
        <f>B$2*B$11*(1+IF(B$8=0,0,1))</f>
        <v>#DIV/0!</v>
      </c>
      <c r="C12" s="15" t="s">
        <v>34</v>
      </c>
      <c r="D12" s="6"/>
      <c r="H12" s="15"/>
    </row>
    <row r="13" spans="1:9" outlineLevel="1" x14ac:dyDescent="0.45">
      <c r="A13" s="62" t="s">
        <v>90</v>
      </c>
      <c r="B13" s="14" t="e">
        <f>MAX(B12/3,B5*F20*B4/0.95*(1+D13))</f>
        <v>#DIV/0!</v>
      </c>
      <c r="C13" s="15" t="s">
        <v>49</v>
      </c>
      <c r="D13" s="67">
        <v>0</v>
      </c>
      <c r="H13" s="15"/>
    </row>
    <row r="14" spans="1:9" outlineLevel="1" x14ac:dyDescent="0.45">
      <c r="A14" s="62" t="s">
        <v>91</v>
      </c>
      <c r="B14" s="17" t="e">
        <f>MAX(0,B8*(B9-B5)*F20*B4/1024/0.95)</f>
        <v>#VALUE!</v>
      </c>
      <c r="C14" s="15" t="s">
        <v>89</v>
      </c>
      <c r="D14" s="6"/>
      <c r="H14" s="15"/>
    </row>
    <row r="15" spans="1:9" outlineLevel="1" x14ac:dyDescent="0.45">
      <c r="A15" s="63" t="s">
        <v>93</v>
      </c>
      <c r="B15" s="65">
        <f>MAX(B8*F20*2,B2*20/3)</f>
        <v>0</v>
      </c>
      <c r="C15" s="64" t="s">
        <v>49</v>
      </c>
      <c r="D15" s="66"/>
      <c r="H15" s="15"/>
    </row>
    <row r="16" spans="1:9" ht="14.65" thickBot="1" x14ac:dyDescent="0.5"/>
    <row r="17" spans="1:14" ht="14.65" outlineLevel="1" thickBot="1" x14ac:dyDescent="0.5">
      <c r="A17" s="165" t="s">
        <v>19</v>
      </c>
      <c r="B17" s="166"/>
      <c r="C17" s="165" t="s">
        <v>21</v>
      </c>
      <c r="D17" s="166"/>
      <c r="F17" s="163" t="s">
        <v>18</v>
      </c>
      <c r="G17" s="164"/>
      <c r="H17" s="165" t="s">
        <v>20</v>
      </c>
      <c r="I17" s="166"/>
    </row>
    <row r="18" spans="1:14" outlineLevel="1" x14ac:dyDescent="0.45">
      <c r="A18" s="5">
        <f>$B2*$B3</f>
        <v>0</v>
      </c>
      <c r="B18" s="6" t="s">
        <v>11</v>
      </c>
      <c r="C18" s="5">
        <f>$B2*$B3/1000</f>
        <v>0</v>
      </c>
      <c r="D18" s="6" t="s">
        <v>10</v>
      </c>
      <c r="F18" s="5">
        <f>$B2*$B3</f>
        <v>0</v>
      </c>
      <c r="G18" s="6" t="s">
        <v>11</v>
      </c>
      <c r="H18" s="5">
        <f>$B2*$B3/1000</f>
        <v>0</v>
      </c>
      <c r="I18" s="6" t="s">
        <v>10</v>
      </c>
    </row>
    <row r="19" spans="1:14" outlineLevel="1" x14ac:dyDescent="0.45">
      <c r="A19" s="5">
        <f>A18/8</f>
        <v>0</v>
      </c>
      <c r="B19" s="6" t="s">
        <v>5</v>
      </c>
      <c r="C19" s="5">
        <f>C18/8</f>
        <v>0</v>
      </c>
      <c r="D19" s="6" t="s">
        <v>17</v>
      </c>
      <c r="F19" s="5">
        <f>F18/8*(1000/1024)^2</f>
        <v>0</v>
      </c>
      <c r="G19" s="6" t="s">
        <v>3</v>
      </c>
      <c r="H19" s="5">
        <f>H18/8*(1000/1024)^3</f>
        <v>0</v>
      </c>
      <c r="I19" s="6" t="s">
        <v>12</v>
      </c>
    </row>
    <row r="20" spans="1:14" outlineLevel="1" x14ac:dyDescent="0.45">
      <c r="A20" s="5">
        <f>A19*3600/1000</f>
        <v>0</v>
      </c>
      <c r="B20" s="6" t="s">
        <v>6</v>
      </c>
      <c r="C20" s="5">
        <f>C19*3600/1000</f>
        <v>0</v>
      </c>
      <c r="D20" s="6" t="s">
        <v>25</v>
      </c>
      <c r="F20" s="5">
        <f>F19*3600/1024</f>
        <v>0</v>
      </c>
      <c r="G20" s="6" t="s">
        <v>0</v>
      </c>
      <c r="H20" s="5">
        <f>H19*3600/1024</f>
        <v>0</v>
      </c>
      <c r="I20" s="6" t="s">
        <v>13</v>
      </c>
      <c r="N20" s="70"/>
    </row>
    <row r="21" spans="1:14" outlineLevel="1" x14ac:dyDescent="0.45">
      <c r="A21" s="7">
        <f>A20*24</f>
        <v>0</v>
      </c>
      <c r="B21" s="6" t="s">
        <v>7</v>
      </c>
      <c r="C21" s="7">
        <f>C20*24</f>
        <v>0</v>
      </c>
      <c r="D21" s="6" t="s">
        <v>26</v>
      </c>
      <c r="F21" s="7">
        <f>F20*24</f>
        <v>0</v>
      </c>
      <c r="G21" s="6" t="s">
        <v>1</v>
      </c>
      <c r="H21" s="7">
        <f>H20*24</f>
        <v>0</v>
      </c>
      <c r="I21" s="6" t="s">
        <v>14</v>
      </c>
    </row>
    <row r="22" spans="1:14" outlineLevel="1" x14ac:dyDescent="0.45">
      <c r="A22" s="7">
        <f>A21*7</f>
        <v>0</v>
      </c>
      <c r="B22" s="6" t="s">
        <v>8</v>
      </c>
      <c r="C22" s="7">
        <f>C21*7</f>
        <v>0</v>
      </c>
      <c r="D22" s="6" t="s">
        <v>27</v>
      </c>
      <c r="F22" s="7">
        <f>F21*7</f>
        <v>0</v>
      </c>
      <c r="G22" s="6" t="s">
        <v>4</v>
      </c>
      <c r="H22" s="7">
        <f>H21*7</f>
        <v>0</v>
      </c>
      <c r="I22" s="6" t="s">
        <v>15</v>
      </c>
    </row>
    <row r="23" spans="1:14" outlineLevel="1" x14ac:dyDescent="0.45">
      <c r="A23" s="8">
        <f>A21*365/12</f>
        <v>0</v>
      </c>
      <c r="B23" s="9" t="s">
        <v>9</v>
      </c>
      <c r="C23" s="8">
        <f>C21*365/12</f>
        <v>0</v>
      </c>
      <c r="D23" s="9" t="s">
        <v>28</v>
      </c>
      <c r="F23" s="8">
        <f>F21*365/12</f>
        <v>0</v>
      </c>
      <c r="G23" s="9" t="s">
        <v>2</v>
      </c>
      <c r="H23" s="8">
        <f>H21*365/12</f>
        <v>0</v>
      </c>
      <c r="I23" s="9" t="s">
        <v>16</v>
      </c>
    </row>
    <row r="24" spans="1:14" outlineLevel="1" x14ac:dyDescent="0.45">
      <c r="A24" s="14"/>
      <c r="B24" s="15"/>
      <c r="C24" s="14"/>
      <c r="D24" s="15"/>
      <c r="E24" s="14"/>
      <c r="F24" s="15"/>
    </row>
    <row r="25" spans="1:14" outlineLevel="1" x14ac:dyDescent="0.45">
      <c r="A25" s="11" t="s">
        <v>23</v>
      </c>
      <c r="C25" s="16">
        <v>0.08</v>
      </c>
    </row>
    <row r="26" spans="1:14" outlineLevel="1" x14ac:dyDescent="0.45">
      <c r="A26"/>
      <c r="H26" s="39">
        <f>1024/1000</f>
        <v>1.024</v>
      </c>
      <c r="I26" s="4" t="s">
        <v>35</v>
      </c>
    </row>
    <row r="27" spans="1:14" outlineLevel="1" x14ac:dyDescent="0.45">
      <c r="A27" s="10">
        <f>A18*(1+$C$25)</f>
        <v>0</v>
      </c>
      <c r="B27" s="4" t="s">
        <v>11</v>
      </c>
      <c r="C27" s="10">
        <f>C18*(1+$C$25)</f>
        <v>0</v>
      </c>
      <c r="D27" s="4" t="s">
        <v>10</v>
      </c>
      <c r="E27" s="17"/>
      <c r="H27" s="40">
        <f>H$26^2</f>
        <v>1.048576</v>
      </c>
      <c r="I27" s="6" t="s">
        <v>36</v>
      </c>
    </row>
    <row r="28" spans="1:14" outlineLevel="1" x14ac:dyDescent="0.45">
      <c r="A28" s="5">
        <f>A19*(1+$C$25)</f>
        <v>0</v>
      </c>
      <c r="B28" s="6" t="s">
        <v>5</v>
      </c>
      <c r="C28" s="5">
        <f>C19*(1+$C$25)</f>
        <v>0</v>
      </c>
      <c r="D28" s="6" t="s">
        <v>17</v>
      </c>
      <c r="E28" s="17"/>
      <c r="H28" s="40">
        <f>H$26^3</f>
        <v>1.0737418240000001</v>
      </c>
      <c r="I28" s="6" t="s">
        <v>37</v>
      </c>
    </row>
    <row r="29" spans="1:14" outlineLevel="1" x14ac:dyDescent="0.45">
      <c r="A29" s="12">
        <f>A28*60/1000</f>
        <v>0</v>
      </c>
      <c r="B29" s="19" t="s">
        <v>22</v>
      </c>
      <c r="C29" s="12">
        <f>C28*60</f>
        <v>0</v>
      </c>
      <c r="D29" s="19" t="s">
        <v>22</v>
      </c>
      <c r="E29" s="18"/>
      <c r="H29" s="41">
        <f>H$26^4</f>
        <v>1.099511627776</v>
      </c>
      <c r="I29" s="9" t="s">
        <v>38</v>
      </c>
    </row>
    <row r="30" spans="1:14" outlineLevel="1" x14ac:dyDescent="0.45">
      <c r="A30"/>
      <c r="B30" s="13"/>
      <c r="C30" s="2"/>
      <c r="D30" s="13"/>
    </row>
    <row r="31" spans="1:14" x14ac:dyDescent="0.45">
      <c r="A31" t="s">
        <v>258</v>
      </c>
      <c r="B31">
        <f>No_Cameras*Rec_Stream/G4-1</f>
        <v>-1</v>
      </c>
      <c r="C31" s="2"/>
      <c r="D31" s="13"/>
    </row>
    <row r="32" spans="1:14" outlineLevel="1" x14ac:dyDescent="0.45">
      <c r="A32" s="42" t="s">
        <v>88</v>
      </c>
      <c r="B32" s="45" t="e">
        <f>VLOOKUP(Rec_degree,A48:B51,2,FALSE)</f>
        <v>#N/A</v>
      </c>
    </row>
    <row r="33" spans="1:4" hidden="1" outlineLevel="1" x14ac:dyDescent="0.45">
      <c r="A33" s="29" t="s">
        <v>77</v>
      </c>
      <c r="B33" s="30"/>
      <c r="C33" s="31"/>
    </row>
    <row r="34" spans="1:4" hidden="1" outlineLevel="1" x14ac:dyDescent="0.45">
      <c r="A34" s="42" t="s">
        <v>61</v>
      </c>
      <c r="B34" s="3" t="e">
        <f>0.11*B$13/30.4*7</f>
        <v>#DIV/0!</v>
      </c>
      <c r="C34" t="s">
        <v>48</v>
      </c>
    </row>
    <row r="35" spans="1:4" hidden="1" outlineLevel="1" x14ac:dyDescent="0.45">
      <c r="A35" s="42" t="s">
        <v>58</v>
      </c>
      <c r="B35" s="28">
        <f>0.05*24*7</f>
        <v>8.4000000000000021</v>
      </c>
      <c r="C35" t="s">
        <v>48</v>
      </c>
    </row>
    <row r="36" spans="1:4" hidden="1" outlineLevel="1" x14ac:dyDescent="0.45">
      <c r="A36" s="42" t="s">
        <v>67</v>
      </c>
      <c r="B36" s="28">
        <f>0.05*24*7</f>
        <v>8.4000000000000021</v>
      </c>
      <c r="C36" t="s">
        <v>48</v>
      </c>
    </row>
    <row r="37" spans="1:4" hidden="1" outlineLevel="1" x14ac:dyDescent="0.45">
      <c r="A37" s="42" t="s">
        <v>68</v>
      </c>
      <c r="B37" s="28">
        <f>0.05*24*7</f>
        <v>8.4000000000000021</v>
      </c>
      <c r="C37" t="s">
        <v>48</v>
      </c>
    </row>
    <row r="38" spans="1:4" hidden="1" outlineLevel="1" x14ac:dyDescent="0.45">
      <c r="A38" s="42" t="s">
        <v>59</v>
      </c>
      <c r="B38" s="24">
        <f>0.02*A$22*(1+C$25)</f>
        <v>0</v>
      </c>
      <c r="C38" t="s">
        <v>48</v>
      </c>
      <c r="D38" s="38" t="s">
        <v>72</v>
      </c>
    </row>
    <row r="39" spans="1:4" hidden="1" outlineLevel="1" x14ac:dyDescent="0.45">
      <c r="A39" s="42" t="s">
        <v>66</v>
      </c>
      <c r="B39" s="24" t="e">
        <f>0.02*A$22*(1+C$25)*(B$6+B$4*B$7+1%)</f>
        <v>#VALUE!</v>
      </c>
      <c r="C39" t="s">
        <v>48</v>
      </c>
      <c r="D39" s="38" t="s">
        <v>73</v>
      </c>
    </row>
    <row r="40" spans="1:4" hidden="1" outlineLevel="1" x14ac:dyDescent="0.45">
      <c r="A40" s="42" t="s">
        <v>60</v>
      </c>
      <c r="B40" s="32" t="e">
        <f>_xlfn.XLOOKUP($B$2*$B$3/$G$4,'EC2 Guideline'!#REF!,'EC2 Guideline'!#REF!,"n/a",1,1)</f>
        <v>#REF!</v>
      </c>
      <c r="C40" t="s">
        <v>48</v>
      </c>
      <c r="D40" s="37" t="e">
        <f>_xlfn.XLOOKUP($B$2*$B$3/$G$4,'EC2 Guideline'!#REF!,'EC2 Guideline'!#REF!,"No EC2 type",1,1)</f>
        <v>#REF!</v>
      </c>
    </row>
    <row r="41" spans="1:4" hidden="1" outlineLevel="1" x14ac:dyDescent="0.45">
      <c r="A41" s="33" t="s">
        <v>62</v>
      </c>
      <c r="B41" s="34" t="e">
        <f>SUM(B34:B40)</f>
        <v>#DIV/0!</v>
      </c>
      <c r="C41" s="30" t="s">
        <v>48</v>
      </c>
    </row>
    <row r="42" spans="1:4" hidden="1" outlineLevel="1" x14ac:dyDescent="0.45"/>
    <row r="43" spans="1:4" hidden="1" outlineLevel="1" x14ac:dyDescent="0.45">
      <c r="B43" s="24" t="e">
        <f>B41/7*365</f>
        <v>#DIV/0!</v>
      </c>
      <c r="C43" t="s">
        <v>64</v>
      </c>
    </row>
    <row r="44" spans="1:4" hidden="1" outlineLevel="1" x14ac:dyDescent="0.45">
      <c r="B44" s="24" t="e">
        <f>B41/7*365/B$2</f>
        <v>#DIV/0!</v>
      </c>
      <c r="C44" t="s">
        <v>71</v>
      </c>
    </row>
    <row r="45" spans="1:4" hidden="1" outlineLevel="1" x14ac:dyDescent="0.45">
      <c r="A45"/>
      <c r="B45" s="35" t="e">
        <f>B41/7/B$2</f>
        <v>#DIV/0!</v>
      </c>
      <c r="C45" t="s">
        <v>65</v>
      </c>
    </row>
    <row r="46" spans="1:4" x14ac:dyDescent="0.45">
      <c r="A46"/>
    </row>
    <row r="47" spans="1:4" x14ac:dyDescent="0.45">
      <c r="A47" s="2" t="s">
        <v>103</v>
      </c>
      <c r="B47" t="s">
        <v>259</v>
      </c>
    </row>
    <row r="48" spans="1:4" x14ac:dyDescent="0.45">
      <c r="A48" s="179">
        <v>0.1</v>
      </c>
      <c r="B48" t="e">
        <f>VLOOKUP(Weighted_no_Cameras,EC2_Performance_10,2)</f>
        <v>#N/A</v>
      </c>
    </row>
    <row r="49" spans="1:2" x14ac:dyDescent="0.45">
      <c r="A49" s="179">
        <v>0.25</v>
      </c>
      <c r="B49" t="e">
        <f>VLOOKUP(Weighted_no_Cameras,EC2_Performance_25,2)</f>
        <v>#N/A</v>
      </c>
    </row>
    <row r="50" spans="1:2" ht="14.45" customHeight="1" x14ac:dyDescent="0.45">
      <c r="A50" s="179">
        <v>0.5</v>
      </c>
      <c r="B50" t="e">
        <f>VLOOKUP(Weighted_no_Cameras,EC2_Performance_50,2)</f>
        <v>#N/A</v>
      </c>
    </row>
    <row r="51" spans="1:2" x14ac:dyDescent="0.45">
      <c r="A51" s="179">
        <v>1</v>
      </c>
      <c r="B51" t="e">
        <f>VLOOKUP(Weighted_no_Cameras,EC2_Performance_100,2)</f>
        <v>#N/A</v>
      </c>
    </row>
  </sheetData>
  <sheetProtection formatColumns="0" formatRows="0"/>
  <mergeCells count="4">
    <mergeCell ref="F17:G17"/>
    <mergeCell ref="A17:B17"/>
    <mergeCell ref="H17:I17"/>
    <mergeCell ref="C17:D17"/>
  </mergeCells>
  <pageMargins left="0.7" right="0.7" top="0.75" bottom="0.75" header="0.3" footer="0.3"/>
  <pageSetup paperSize="9" orientation="portrait" r:id="rId1"/>
  <headerFooter>
    <oddFooter>&amp;C&amp;1#&amp;"Calibri"&amp;8&amp;K000000Sensitivity: Internal (R3)</oddFooter>
  </headerFooter>
  <ignoredErrors>
    <ignoredError sqref="B5"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74D7-1CB9-42E8-8607-D29EE9A572CB}">
  <sheetPr>
    <pageSetUpPr fitToPage="1"/>
  </sheetPr>
  <dimension ref="A1:F53"/>
  <sheetViews>
    <sheetView topLeftCell="A12" zoomScale="120" zoomScaleNormal="120" workbookViewId="0">
      <selection activeCell="C87" sqref="C87:H87"/>
    </sheetView>
  </sheetViews>
  <sheetFormatPr defaultRowHeight="14.25" x14ac:dyDescent="0.45"/>
  <cols>
    <col min="1" max="1" width="12" customWidth="1"/>
    <col min="2" max="2" width="10.73046875" style="27" customWidth="1"/>
    <col min="3" max="3" width="9" style="26" customWidth="1"/>
    <col min="4" max="4" width="9.59765625" style="3" customWidth="1"/>
    <col min="7" max="7" width="1.86328125" customWidth="1"/>
  </cols>
  <sheetData>
    <row r="1" spans="1:6" ht="28.9" customHeight="1" x14ac:dyDescent="0.45">
      <c r="A1" s="167" t="s">
        <v>45</v>
      </c>
      <c r="B1" s="170" t="s">
        <v>78</v>
      </c>
      <c r="C1" s="171"/>
      <c r="D1" s="171"/>
      <c r="E1" s="171"/>
      <c r="F1" s="171"/>
    </row>
    <row r="2" spans="1:6" ht="14.45" customHeight="1" x14ac:dyDescent="0.45">
      <c r="A2" s="168"/>
      <c r="B2" s="54">
        <v>0.1</v>
      </c>
      <c r="C2" s="53">
        <v>0.25</v>
      </c>
      <c r="D2" s="53">
        <v>0.5</v>
      </c>
      <c r="E2" s="53">
        <v>1</v>
      </c>
      <c r="F2" s="52">
        <v>1</v>
      </c>
    </row>
    <row r="3" spans="1:6" ht="28.35" customHeight="1" x14ac:dyDescent="0.45">
      <c r="A3" s="169"/>
      <c r="B3" s="172" t="s">
        <v>80</v>
      </c>
      <c r="C3" s="173"/>
      <c r="D3" s="173"/>
      <c r="E3" s="174"/>
      <c r="F3" s="46" t="s">
        <v>81</v>
      </c>
    </row>
    <row r="4" spans="1:6" ht="28.35" customHeight="1" x14ac:dyDescent="0.45">
      <c r="A4" s="175"/>
      <c r="B4" s="176"/>
      <c r="C4" s="176"/>
      <c r="D4" s="176"/>
      <c r="E4" s="176"/>
      <c r="F4" s="177"/>
    </row>
    <row r="5" spans="1:6" x14ac:dyDescent="0.45">
      <c r="A5" s="43" t="s">
        <v>51</v>
      </c>
      <c r="B5" s="57">
        <v>8</v>
      </c>
      <c r="C5" s="57">
        <v>8</v>
      </c>
      <c r="D5" s="57">
        <v>7</v>
      </c>
      <c r="E5" s="57">
        <v>7</v>
      </c>
      <c r="F5" s="43">
        <v>8</v>
      </c>
    </row>
    <row r="6" spans="1:6" x14ac:dyDescent="0.45">
      <c r="A6" s="44" t="s">
        <v>52</v>
      </c>
      <c r="B6" s="58">
        <v>18</v>
      </c>
      <c r="C6" s="58">
        <v>17</v>
      </c>
      <c r="D6" s="58">
        <v>17</v>
      </c>
      <c r="E6" s="58">
        <v>16</v>
      </c>
      <c r="F6" s="44">
        <v>18</v>
      </c>
    </row>
    <row r="7" spans="1:6" x14ac:dyDescent="0.45">
      <c r="A7" s="43" t="s">
        <v>53</v>
      </c>
      <c r="B7" s="57">
        <v>40</v>
      </c>
      <c r="C7" s="57">
        <v>39</v>
      </c>
      <c r="D7" s="57">
        <v>38</v>
      </c>
      <c r="E7" s="43">
        <v>36</v>
      </c>
      <c r="F7" s="43">
        <v>41</v>
      </c>
    </row>
    <row r="8" spans="1:6" x14ac:dyDescent="0.45">
      <c r="A8" s="44" t="s">
        <v>54</v>
      </c>
      <c r="B8" s="58">
        <v>96</v>
      </c>
      <c r="C8" s="58">
        <v>95</v>
      </c>
      <c r="D8" s="58">
        <v>94</v>
      </c>
      <c r="E8" s="44">
        <v>92</v>
      </c>
      <c r="F8" s="44">
        <v>97</v>
      </c>
    </row>
    <row r="9" spans="1:6" x14ac:dyDescent="0.45">
      <c r="A9" s="43" t="s">
        <v>56</v>
      </c>
      <c r="B9" s="57">
        <v>113</v>
      </c>
      <c r="C9" s="57">
        <v>110</v>
      </c>
      <c r="D9" s="57">
        <v>106</v>
      </c>
      <c r="E9" s="43">
        <v>97</v>
      </c>
      <c r="F9" s="43">
        <v>115</v>
      </c>
    </row>
    <row r="10" spans="1:6" x14ac:dyDescent="0.45">
      <c r="A10" s="44" t="s">
        <v>57</v>
      </c>
      <c r="B10" s="58">
        <v>275</v>
      </c>
      <c r="C10" s="58">
        <v>268</v>
      </c>
      <c r="D10" s="44">
        <v>242</v>
      </c>
      <c r="E10" s="44">
        <v>133</v>
      </c>
      <c r="F10" s="44">
        <v>280</v>
      </c>
    </row>
    <row r="11" spans="1:6" x14ac:dyDescent="0.45">
      <c r="A11" s="43" t="s">
        <v>55</v>
      </c>
      <c r="B11" s="57">
        <v>480</v>
      </c>
      <c r="C11" s="43">
        <v>480</v>
      </c>
      <c r="D11" s="43">
        <v>468</v>
      </c>
      <c r="E11" s="43">
        <v>427</v>
      </c>
      <c r="F11" s="43">
        <v>480</v>
      </c>
    </row>
    <row r="14" spans="1:6" x14ac:dyDescent="0.45">
      <c r="C14" s="2">
        <v>481</v>
      </c>
    </row>
    <row r="15" spans="1:6" x14ac:dyDescent="0.45">
      <c r="A15" s="178" t="s">
        <v>254</v>
      </c>
      <c r="C15" s="26" t="str">
        <f>VLOOKUP(C14-1,A16:B23,2)</f>
        <v>No Match</v>
      </c>
    </row>
    <row r="16" spans="1:6" x14ac:dyDescent="0.45">
      <c r="A16">
        <v>0</v>
      </c>
      <c r="B16" s="27" t="s">
        <v>51</v>
      </c>
    </row>
    <row r="17" spans="1:2" x14ac:dyDescent="0.45">
      <c r="A17">
        <v>8</v>
      </c>
      <c r="B17" s="148" t="s">
        <v>52</v>
      </c>
    </row>
    <row r="18" spans="1:2" x14ac:dyDescent="0.45">
      <c r="A18">
        <v>18</v>
      </c>
      <c r="B18" s="148" t="s">
        <v>53</v>
      </c>
    </row>
    <row r="19" spans="1:2" x14ac:dyDescent="0.45">
      <c r="A19">
        <v>40</v>
      </c>
      <c r="B19" s="148" t="s">
        <v>54</v>
      </c>
    </row>
    <row r="20" spans="1:2" x14ac:dyDescent="0.45">
      <c r="A20">
        <v>96</v>
      </c>
      <c r="B20" s="148" t="s">
        <v>56</v>
      </c>
    </row>
    <row r="21" spans="1:2" x14ac:dyDescent="0.45">
      <c r="A21">
        <v>113</v>
      </c>
      <c r="B21" s="148" t="s">
        <v>57</v>
      </c>
    </row>
    <row r="22" spans="1:2" x14ac:dyDescent="0.45">
      <c r="A22">
        <v>275</v>
      </c>
      <c r="B22" s="148" t="s">
        <v>55</v>
      </c>
    </row>
    <row r="23" spans="1:2" x14ac:dyDescent="0.45">
      <c r="A23">
        <v>480</v>
      </c>
      <c r="B23" s="148" t="s">
        <v>260</v>
      </c>
    </row>
    <row r="25" spans="1:2" x14ac:dyDescent="0.45">
      <c r="A25" s="178" t="s">
        <v>255</v>
      </c>
      <c r="B25" s="148"/>
    </row>
    <row r="26" spans="1:2" x14ac:dyDescent="0.45">
      <c r="A26">
        <v>0</v>
      </c>
      <c r="B26" s="148" t="s">
        <v>51</v>
      </c>
    </row>
    <row r="27" spans="1:2" x14ac:dyDescent="0.45">
      <c r="A27">
        <v>8</v>
      </c>
      <c r="B27" s="148" t="s">
        <v>52</v>
      </c>
    </row>
    <row r="28" spans="1:2" x14ac:dyDescent="0.45">
      <c r="A28">
        <v>17</v>
      </c>
      <c r="B28" s="148" t="s">
        <v>53</v>
      </c>
    </row>
    <row r="29" spans="1:2" x14ac:dyDescent="0.45">
      <c r="A29">
        <v>39</v>
      </c>
      <c r="B29" s="148" t="s">
        <v>54</v>
      </c>
    </row>
    <row r="30" spans="1:2" x14ac:dyDescent="0.45">
      <c r="A30">
        <v>95</v>
      </c>
      <c r="B30" s="148" t="s">
        <v>56</v>
      </c>
    </row>
    <row r="31" spans="1:2" x14ac:dyDescent="0.45">
      <c r="A31">
        <v>110</v>
      </c>
      <c r="B31" s="148" t="s">
        <v>57</v>
      </c>
    </row>
    <row r="32" spans="1:2" x14ac:dyDescent="0.45">
      <c r="A32">
        <v>268</v>
      </c>
      <c r="B32" s="148" t="s">
        <v>55</v>
      </c>
    </row>
    <row r="33" spans="1:2" x14ac:dyDescent="0.45">
      <c r="A33">
        <v>480</v>
      </c>
      <c r="B33" s="148" t="s">
        <v>260</v>
      </c>
    </row>
    <row r="35" spans="1:2" x14ac:dyDescent="0.45">
      <c r="A35" s="178" t="s">
        <v>256</v>
      </c>
      <c r="B35" s="148"/>
    </row>
    <row r="36" spans="1:2" x14ac:dyDescent="0.45">
      <c r="A36">
        <v>0</v>
      </c>
      <c r="B36" s="148" t="s">
        <v>51</v>
      </c>
    </row>
    <row r="37" spans="1:2" x14ac:dyDescent="0.45">
      <c r="A37">
        <v>7</v>
      </c>
      <c r="B37" s="148" t="s">
        <v>52</v>
      </c>
    </row>
    <row r="38" spans="1:2" x14ac:dyDescent="0.45">
      <c r="A38">
        <v>17</v>
      </c>
      <c r="B38" s="148" t="s">
        <v>53</v>
      </c>
    </row>
    <row r="39" spans="1:2" x14ac:dyDescent="0.45">
      <c r="A39">
        <v>38</v>
      </c>
      <c r="B39" s="148" t="s">
        <v>54</v>
      </c>
    </row>
    <row r="40" spans="1:2" x14ac:dyDescent="0.45">
      <c r="A40">
        <v>94</v>
      </c>
      <c r="B40" s="148" t="s">
        <v>56</v>
      </c>
    </row>
    <row r="41" spans="1:2" x14ac:dyDescent="0.45">
      <c r="A41">
        <v>106</v>
      </c>
      <c r="B41" s="148" t="s">
        <v>57</v>
      </c>
    </row>
    <row r="42" spans="1:2" x14ac:dyDescent="0.45">
      <c r="A42">
        <v>242</v>
      </c>
      <c r="B42" s="148" t="s">
        <v>55</v>
      </c>
    </row>
    <row r="43" spans="1:2" x14ac:dyDescent="0.45">
      <c r="A43">
        <v>468</v>
      </c>
      <c r="B43" s="148" t="s">
        <v>260</v>
      </c>
    </row>
    <row r="45" spans="1:2" x14ac:dyDescent="0.45">
      <c r="A45" s="178" t="s">
        <v>257</v>
      </c>
      <c r="B45" s="148"/>
    </row>
    <row r="46" spans="1:2" x14ac:dyDescent="0.45">
      <c r="A46">
        <v>0</v>
      </c>
      <c r="B46" s="148" t="s">
        <v>51</v>
      </c>
    </row>
    <row r="47" spans="1:2" x14ac:dyDescent="0.45">
      <c r="A47">
        <v>7</v>
      </c>
      <c r="B47" s="148" t="s">
        <v>52</v>
      </c>
    </row>
    <row r="48" spans="1:2" x14ac:dyDescent="0.45">
      <c r="A48">
        <v>16</v>
      </c>
      <c r="B48" s="148" t="s">
        <v>53</v>
      </c>
    </row>
    <row r="49" spans="1:2" x14ac:dyDescent="0.45">
      <c r="A49">
        <v>36</v>
      </c>
      <c r="B49" s="148" t="s">
        <v>54</v>
      </c>
    </row>
    <row r="50" spans="1:2" x14ac:dyDescent="0.45">
      <c r="A50">
        <v>92</v>
      </c>
      <c r="B50" s="148" t="s">
        <v>56</v>
      </c>
    </row>
    <row r="51" spans="1:2" x14ac:dyDescent="0.45">
      <c r="A51">
        <v>97</v>
      </c>
      <c r="B51" s="148" t="s">
        <v>57</v>
      </c>
    </row>
    <row r="52" spans="1:2" x14ac:dyDescent="0.45">
      <c r="A52">
        <v>133</v>
      </c>
      <c r="B52" s="148" t="s">
        <v>55</v>
      </c>
    </row>
    <row r="53" spans="1:2" x14ac:dyDescent="0.45">
      <c r="A53">
        <v>427</v>
      </c>
      <c r="B53" s="148" t="s">
        <v>260</v>
      </c>
    </row>
  </sheetData>
  <sheetProtection formatColumns="0" formatRows="0"/>
  <mergeCells count="3">
    <mergeCell ref="A1:A3"/>
    <mergeCell ref="B1:F1"/>
    <mergeCell ref="B3:E3"/>
  </mergeCells>
  <conditionalFormatting sqref="E5 E7 E9 E11">
    <cfRule type="cellIs" dxfId="7" priority="7" operator="equal">
      <formula>FLOOR(#REF!/E$2*(1-#REF!*(1-E$2)),1)</formula>
    </cfRule>
  </conditionalFormatting>
  <conditionalFormatting sqref="E6 E8 E10">
    <cfRule type="cellIs" dxfId="6" priority="8" operator="equal">
      <formula>FLOOR(#REF!/E$2*(1-#REF!*(1-E$2)),1)</formula>
    </cfRule>
  </conditionalFormatting>
  <conditionalFormatting sqref="D5 D7 D9 D11">
    <cfRule type="cellIs" dxfId="5" priority="5" operator="equal">
      <formula>FLOOR(#REF!/D$2*(1-#REF!*(1-D$2)),1)</formula>
    </cfRule>
  </conditionalFormatting>
  <conditionalFormatting sqref="D6 D8 D10">
    <cfRule type="cellIs" dxfId="4" priority="6" operator="equal">
      <formula>FLOOR(#REF!/D$2*(1-#REF!*(1-D$2)),1)</formula>
    </cfRule>
  </conditionalFormatting>
  <conditionalFormatting sqref="B5 B7 B9 B11">
    <cfRule type="cellIs" dxfId="3" priority="3" operator="equal">
      <formula>FLOOR(#REF!/B$2*(1-#REF!*(1-B$2)),1)</formula>
    </cfRule>
  </conditionalFormatting>
  <conditionalFormatting sqref="B6 B8 B10">
    <cfRule type="cellIs" dxfId="2" priority="4" operator="equal">
      <formula>FLOOR(#REF!/B$2*(1-#REF!*(1-B$2)),1)</formula>
    </cfRule>
  </conditionalFormatting>
  <conditionalFormatting sqref="C5 C7 C9 C11">
    <cfRule type="cellIs" dxfId="1" priority="1" operator="equal">
      <formula>FLOOR(#REF!/C$2*(1-#REF!*(1-C$2)),1)</formula>
    </cfRule>
  </conditionalFormatting>
  <conditionalFormatting sqref="C6 C8 C10">
    <cfRule type="cellIs" dxfId="0" priority="2" operator="equal">
      <formula>FLOOR(#REF!/C$2*(1-#REF!*(1-C$2)),1)</formula>
    </cfRule>
  </conditionalFormatting>
  <dataValidations count="1">
    <dataValidation type="decimal" allowBlank="1" showInputMessage="1" showErrorMessage="1" errorTitle="Invalid value" error="The value must be between 1% and 100%" sqref="B2:E2" xr:uid="{3563AF33-7B8D-471A-A83B-D513839FF88B}">
      <formula1>0.01</formula1>
      <formula2>1</formula2>
    </dataValidation>
  </dataValidations>
  <pageMargins left="1" right="1" top="1" bottom="1" header="0.5" footer="0.5"/>
  <pageSetup paperSize="9" scale="47" orientation="landscape" r:id="rId1"/>
  <headerFooter>
    <oddFooter>&amp;C&amp;1#&amp;"Calibri"&amp;8&amp;K000000Sensitivity: Internal (R3)</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7742-8F1C-41D6-A8DC-ACF2106841DA}">
  <dimension ref="A2:N31"/>
  <sheetViews>
    <sheetView workbookViewId="0">
      <selection activeCell="C87" sqref="C87:H87"/>
    </sheetView>
  </sheetViews>
  <sheetFormatPr defaultRowHeight="14.25" outlineLevelRow="1" x14ac:dyDescent="0.45"/>
  <cols>
    <col min="1" max="1" width="17.59765625" style="2" customWidth="1"/>
    <col min="2" max="2" width="11.3984375" bestFit="1" customWidth="1"/>
    <col min="3" max="3" width="8.1328125" customWidth="1"/>
    <col min="4" max="4" width="10.1328125" bestFit="1" customWidth="1"/>
    <col min="5" max="5" width="2.3984375" customWidth="1"/>
    <col min="6" max="6" width="13.86328125" bestFit="1" customWidth="1"/>
    <col min="7" max="7" width="10.73046875" bestFit="1" customWidth="1"/>
    <col min="8" max="8" width="8.1328125" customWidth="1"/>
    <col min="9" max="9" width="10.3984375" bestFit="1" customWidth="1"/>
    <col min="10" max="10" width="5.3984375" customWidth="1"/>
    <col min="11" max="11" width="13.86328125" bestFit="1" customWidth="1"/>
    <col min="12" max="13" width="5.86328125" bestFit="1" customWidth="1"/>
  </cols>
  <sheetData>
    <row r="2" spans="1:8" x14ac:dyDescent="0.45">
      <c r="A2" s="36" t="s">
        <v>42</v>
      </c>
      <c r="B2" s="47">
        <f>No_Cameras</f>
        <v>0</v>
      </c>
    </row>
    <row r="3" spans="1:8" x14ac:dyDescent="0.45">
      <c r="A3" s="36" t="s">
        <v>41</v>
      </c>
      <c r="B3" s="48">
        <f>Rec_Stream</f>
        <v>0</v>
      </c>
      <c r="C3" t="s">
        <v>11</v>
      </c>
    </row>
    <row r="4" spans="1:8" x14ac:dyDescent="0.45">
      <c r="A4" s="36" t="s">
        <v>63</v>
      </c>
      <c r="B4" s="49" t="str">
        <f>Rec_degree</f>
        <v>Select degree of recording</v>
      </c>
      <c r="C4" t="s">
        <v>69</v>
      </c>
    </row>
    <row r="5" spans="1:8" x14ac:dyDescent="0.45">
      <c r="A5" s="36" t="s">
        <v>192</v>
      </c>
      <c r="B5" s="50">
        <f>24*1</f>
        <v>24</v>
      </c>
      <c r="C5" t="s">
        <v>40</v>
      </c>
    </row>
    <row r="6" spans="1:8" x14ac:dyDescent="0.45">
      <c r="A6" s="36" t="s">
        <v>74</v>
      </c>
      <c r="B6" s="51">
        <v>0</v>
      </c>
      <c r="C6" t="s">
        <v>69</v>
      </c>
    </row>
    <row r="7" spans="1:8" x14ac:dyDescent="0.45">
      <c r="A7" s="36" t="s">
        <v>75</v>
      </c>
      <c r="B7" s="51">
        <v>0</v>
      </c>
      <c r="C7" t="s">
        <v>70</v>
      </c>
    </row>
    <row r="8" spans="1:8" x14ac:dyDescent="0.45">
      <c r="A8" s="36" t="s">
        <v>76</v>
      </c>
      <c r="B8" s="49">
        <v>1</v>
      </c>
      <c r="C8" t="s">
        <v>70</v>
      </c>
    </row>
    <row r="9" spans="1:8" x14ac:dyDescent="0.45">
      <c r="A9" s="36" t="s">
        <v>39</v>
      </c>
      <c r="B9" s="50">
        <f>(Retention_Time*Time_Factor)</f>
        <v>0</v>
      </c>
      <c r="C9" t="s">
        <v>40</v>
      </c>
      <c r="F9" s="1" t="s">
        <v>195</v>
      </c>
    </row>
    <row r="10" spans="1:8" x14ac:dyDescent="0.45">
      <c r="A10" s="36" t="s">
        <v>194</v>
      </c>
      <c r="B10" s="84">
        <v>0.05</v>
      </c>
      <c r="F10" t="s">
        <v>193</v>
      </c>
      <c r="G10" s="24" t="e">
        <f>(B13/3)</f>
        <v>#DIV/0!</v>
      </c>
      <c r="H10" t="s">
        <v>49</v>
      </c>
    </row>
    <row r="11" spans="1:8" outlineLevel="1" x14ac:dyDescent="0.45">
      <c r="F11" t="s">
        <v>61</v>
      </c>
      <c r="G11" t="e">
        <f>B5*F20*B4/0.95</f>
        <v>#VALUE!</v>
      </c>
      <c r="H11" t="s">
        <v>49</v>
      </c>
    </row>
    <row r="12" spans="1:8" outlineLevel="1" x14ac:dyDescent="0.45">
      <c r="A12" s="59" t="s">
        <v>24</v>
      </c>
      <c r="B12" s="60" t="e">
        <f>A19/B2*1000/128+1</f>
        <v>#DIV/0!</v>
      </c>
      <c r="C12" s="61" t="s">
        <v>43</v>
      </c>
      <c r="D12" s="4"/>
    </row>
    <row r="13" spans="1:8" outlineLevel="1" x14ac:dyDescent="0.45">
      <c r="A13" s="62" t="s">
        <v>24</v>
      </c>
      <c r="B13" s="14" t="e">
        <f>B$2*B$12*(1+IF(B$8=0,0,1))</f>
        <v>#DIV/0!</v>
      </c>
      <c r="C13" s="15" t="s">
        <v>34</v>
      </c>
      <c r="D13" s="6"/>
      <c r="F13" s="1" t="s">
        <v>196</v>
      </c>
    </row>
    <row r="14" spans="1:8" outlineLevel="1" x14ac:dyDescent="0.45">
      <c r="A14" s="62" t="s">
        <v>90</v>
      </c>
      <c r="B14" s="14" t="e">
        <f>MAX(B13/3,B5*F20*B4*(1+B10))</f>
        <v>#DIV/0!</v>
      </c>
      <c r="C14" s="15" t="s">
        <v>49</v>
      </c>
      <c r="D14" s="24" t="e">
        <f>ROUNDUP(B14,-1)</f>
        <v>#DIV/0!</v>
      </c>
      <c r="F14" t="s">
        <v>193</v>
      </c>
      <c r="G14" s="24" t="e">
        <f>(B13*B4/12)+1</f>
        <v>#DIV/0!</v>
      </c>
      <c r="H14" t="s">
        <v>89</v>
      </c>
    </row>
    <row r="15" spans="1:8" outlineLevel="1" x14ac:dyDescent="0.45">
      <c r="A15" s="63" t="s">
        <v>91</v>
      </c>
      <c r="B15" s="83" t="e">
        <f>MAX(G14:G15,2)</f>
        <v>#DIV/0!</v>
      </c>
      <c r="C15" s="64" t="s">
        <v>89</v>
      </c>
      <c r="D15" s="85" t="e">
        <f>ROUNDUP(B15,1)</f>
        <v>#DIV/0!</v>
      </c>
      <c r="F15" t="s">
        <v>61</v>
      </c>
      <c r="G15" t="e">
        <f>(B9*F20/1024)*B4*(1+B10)</f>
        <v>#VALUE!</v>
      </c>
      <c r="H15" s="15" t="s">
        <v>89</v>
      </c>
    </row>
    <row r="16" spans="1:8" ht="14.65" thickBot="1" x14ac:dyDescent="0.5">
      <c r="F16" t="s">
        <v>98</v>
      </c>
      <c r="G16" t="e">
        <f>No_Cameras*Rec_Stream*Rec_degree</f>
        <v>#VALUE!</v>
      </c>
      <c r="H16" s="13" t="s">
        <v>46</v>
      </c>
    </row>
    <row r="17" spans="1:14" ht="14.65" outlineLevel="1" thickBot="1" x14ac:dyDescent="0.5">
      <c r="A17" s="165" t="s">
        <v>19</v>
      </c>
      <c r="B17" s="166"/>
      <c r="C17" s="165" t="s">
        <v>21</v>
      </c>
      <c r="D17" s="166"/>
      <c r="F17" s="163" t="s">
        <v>18</v>
      </c>
      <c r="G17" s="164"/>
      <c r="H17" s="165" t="s">
        <v>20</v>
      </c>
      <c r="I17" s="166"/>
    </row>
    <row r="18" spans="1:14" outlineLevel="1" x14ac:dyDescent="0.45">
      <c r="A18" s="5">
        <f>$B2*$B3</f>
        <v>0</v>
      </c>
      <c r="B18" s="6" t="s">
        <v>11</v>
      </c>
      <c r="C18" s="5">
        <f>$B2*$B3/1000</f>
        <v>0</v>
      </c>
      <c r="D18" s="6" t="s">
        <v>10</v>
      </c>
      <c r="F18" s="5">
        <f>$B2*$B3</f>
        <v>0</v>
      </c>
      <c r="G18" s="6" t="s">
        <v>11</v>
      </c>
      <c r="H18" s="5">
        <f>$B2*$B3/1000</f>
        <v>0</v>
      </c>
      <c r="I18" s="6" t="s">
        <v>10</v>
      </c>
    </row>
    <row r="19" spans="1:14" outlineLevel="1" x14ac:dyDescent="0.45">
      <c r="A19" s="5">
        <f>A18/8</f>
        <v>0</v>
      </c>
      <c r="B19" s="6" t="s">
        <v>5</v>
      </c>
      <c r="C19" s="5">
        <f>C18/8</f>
        <v>0</v>
      </c>
      <c r="D19" s="6" t="s">
        <v>17</v>
      </c>
      <c r="F19" s="5">
        <f>F18/8*(1000/1024)^2</f>
        <v>0</v>
      </c>
      <c r="G19" s="6" t="s">
        <v>3</v>
      </c>
      <c r="H19" s="5">
        <f>H18/8*(1000/1024)^3</f>
        <v>0</v>
      </c>
      <c r="I19" s="6" t="s">
        <v>12</v>
      </c>
    </row>
    <row r="20" spans="1:14" outlineLevel="1" x14ac:dyDescent="0.45">
      <c r="A20" s="5">
        <f>A19*3600/1000</f>
        <v>0</v>
      </c>
      <c r="B20" s="6" t="s">
        <v>6</v>
      </c>
      <c r="C20" s="5">
        <f>C19*3600/1000</f>
        <v>0</v>
      </c>
      <c r="D20" s="6" t="s">
        <v>25</v>
      </c>
      <c r="F20" s="5">
        <f>F19*3600/1024</f>
        <v>0</v>
      </c>
      <c r="G20" s="6" t="s">
        <v>0</v>
      </c>
      <c r="H20" s="5">
        <f>H19*3600/1024</f>
        <v>0</v>
      </c>
      <c r="I20" s="6" t="s">
        <v>13</v>
      </c>
      <c r="N20" s="70"/>
    </row>
    <row r="21" spans="1:14" outlineLevel="1" x14ac:dyDescent="0.45">
      <c r="A21" s="7">
        <f>A20*24</f>
        <v>0</v>
      </c>
      <c r="B21" s="6" t="s">
        <v>7</v>
      </c>
      <c r="C21" s="7">
        <f>C20*24</f>
        <v>0</v>
      </c>
      <c r="D21" s="6" t="s">
        <v>26</v>
      </c>
      <c r="F21" s="7">
        <f>F20*24</f>
        <v>0</v>
      </c>
      <c r="G21" s="6" t="s">
        <v>1</v>
      </c>
      <c r="H21" s="7">
        <f>H20*24</f>
        <v>0</v>
      </c>
      <c r="I21" s="6" t="s">
        <v>14</v>
      </c>
    </row>
    <row r="22" spans="1:14" outlineLevel="1" x14ac:dyDescent="0.45">
      <c r="A22" s="7">
        <f>A21*7</f>
        <v>0</v>
      </c>
      <c r="B22" s="6" t="s">
        <v>8</v>
      </c>
      <c r="C22" s="7">
        <f>C21*7</f>
        <v>0</v>
      </c>
      <c r="D22" s="6" t="s">
        <v>27</v>
      </c>
      <c r="F22" s="7">
        <f>F21*7</f>
        <v>0</v>
      </c>
      <c r="G22" s="6" t="s">
        <v>4</v>
      </c>
      <c r="H22" s="7">
        <f>H21*7</f>
        <v>0</v>
      </c>
      <c r="I22" s="6" t="s">
        <v>15</v>
      </c>
    </row>
    <row r="23" spans="1:14" outlineLevel="1" x14ac:dyDescent="0.45">
      <c r="A23" s="8">
        <f>A21*365/12</f>
        <v>0</v>
      </c>
      <c r="B23" s="9" t="s">
        <v>9</v>
      </c>
      <c r="C23" s="8">
        <f>C21*365/12</f>
        <v>0</v>
      </c>
      <c r="D23" s="9" t="s">
        <v>28</v>
      </c>
      <c r="F23" s="8">
        <f>F21*365/12</f>
        <v>0</v>
      </c>
      <c r="G23" s="9" t="s">
        <v>2</v>
      </c>
      <c r="H23" s="8">
        <f>H21*365/12</f>
        <v>0</v>
      </c>
      <c r="I23" s="9" t="s">
        <v>16</v>
      </c>
    </row>
    <row r="24" spans="1:14" outlineLevel="1" x14ac:dyDescent="0.45">
      <c r="A24" s="14"/>
      <c r="B24" s="15"/>
      <c r="C24" s="14"/>
      <c r="D24" s="15"/>
      <c r="E24" s="14"/>
      <c r="F24" s="15"/>
    </row>
    <row r="25" spans="1:14" outlineLevel="1" x14ac:dyDescent="0.45">
      <c r="A25" s="11" t="s">
        <v>23</v>
      </c>
      <c r="C25" s="16">
        <v>0.08</v>
      </c>
    </row>
    <row r="26" spans="1:14" outlineLevel="1" x14ac:dyDescent="0.45">
      <c r="A26"/>
      <c r="H26" s="39">
        <f>1024/1000</f>
        <v>1.024</v>
      </c>
      <c r="I26" s="4" t="s">
        <v>35</v>
      </c>
    </row>
    <row r="27" spans="1:14" outlineLevel="1" x14ac:dyDescent="0.45">
      <c r="A27" s="10">
        <f>A18*(1+$C$25)</f>
        <v>0</v>
      </c>
      <c r="B27" s="4" t="s">
        <v>11</v>
      </c>
      <c r="C27" s="10">
        <f>C18*(1+$C$25)</f>
        <v>0</v>
      </c>
      <c r="D27" s="4" t="s">
        <v>10</v>
      </c>
      <c r="E27" s="17"/>
      <c r="H27" s="40">
        <f>H$26^2</f>
        <v>1.048576</v>
      </c>
      <c r="I27" s="6" t="s">
        <v>36</v>
      </c>
    </row>
    <row r="28" spans="1:14" outlineLevel="1" x14ac:dyDescent="0.45">
      <c r="A28" s="5">
        <f>A19*(1+$C$25)</f>
        <v>0</v>
      </c>
      <c r="B28" s="6" t="s">
        <v>5</v>
      </c>
      <c r="C28" s="5">
        <f>C19*(1+$C$25)</f>
        <v>0</v>
      </c>
      <c r="D28" s="6" t="s">
        <v>17</v>
      </c>
      <c r="E28" s="17"/>
      <c r="H28" s="40">
        <f>H$26^3</f>
        <v>1.0737418240000001</v>
      </c>
      <c r="I28" s="6" t="s">
        <v>37</v>
      </c>
    </row>
    <row r="29" spans="1:14" outlineLevel="1" x14ac:dyDescent="0.45">
      <c r="A29" s="12">
        <f>A28*60/1000</f>
        <v>0</v>
      </c>
      <c r="B29" s="19" t="s">
        <v>22</v>
      </c>
      <c r="C29" s="12">
        <f>C28*60</f>
        <v>0</v>
      </c>
      <c r="D29" s="19" t="s">
        <v>22</v>
      </c>
      <c r="E29" s="18"/>
      <c r="H29" s="41">
        <f>H$26^4</f>
        <v>1.099511627776</v>
      </c>
      <c r="I29" s="9" t="s">
        <v>38</v>
      </c>
    </row>
    <row r="30" spans="1:14" outlineLevel="1" x14ac:dyDescent="0.45">
      <c r="A30"/>
      <c r="B30" s="13"/>
      <c r="C30" s="2"/>
      <c r="D30" s="13"/>
    </row>
    <row r="31" spans="1:14" x14ac:dyDescent="0.45">
      <c r="A31"/>
      <c r="B31" s="13"/>
      <c r="C31" s="2"/>
      <c r="D31" s="13"/>
    </row>
  </sheetData>
  <mergeCells count="4">
    <mergeCell ref="A17:B17"/>
    <mergeCell ref="C17:D17"/>
    <mergeCell ref="F17:G17"/>
    <mergeCell ref="H17:I17"/>
  </mergeCells>
  <pageMargins left="0.7" right="0.7" top="0.75" bottom="0.75" header="0.3" footer="0.3"/>
  <pageSetup paperSize="9" orientation="portrait" verticalDpi="0" r:id="rId1"/>
  <headerFooter>
    <oddFooter>&amp;C&amp;1#&amp;"Calibri"&amp;8&amp;K000000Sensitivity: Internal (R3)</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DC295-7023-4B82-A644-5C22BE8DD413}">
  <dimension ref="A1:G31"/>
  <sheetViews>
    <sheetView topLeftCell="A3" workbookViewId="0">
      <selection activeCell="C87" sqref="C87:H87"/>
    </sheetView>
  </sheetViews>
  <sheetFormatPr defaultRowHeight="14.25" x14ac:dyDescent="0.45"/>
  <cols>
    <col min="1" max="1" width="25.59765625" bestFit="1" customWidth="1"/>
    <col min="2" max="3" width="22.73046875" customWidth="1"/>
    <col min="4" max="5" width="22.73046875" style="27" customWidth="1"/>
  </cols>
  <sheetData>
    <row r="1" spans="1:7" x14ac:dyDescent="0.45">
      <c r="A1" t="s">
        <v>60</v>
      </c>
      <c r="B1" s="161" t="s">
        <v>141</v>
      </c>
      <c r="C1" s="161"/>
      <c r="D1" s="161" t="s">
        <v>142</v>
      </c>
      <c r="E1" s="161"/>
    </row>
    <row r="2" spans="1:7" x14ac:dyDescent="0.45">
      <c r="A2" t="s">
        <v>144</v>
      </c>
      <c r="B2" s="27" t="s">
        <v>136</v>
      </c>
      <c r="C2" s="27" t="s">
        <v>137</v>
      </c>
      <c r="D2" s="27" t="s">
        <v>136</v>
      </c>
      <c r="E2" s="27" t="s">
        <v>137</v>
      </c>
    </row>
    <row r="3" spans="1:7" x14ac:dyDescent="0.45">
      <c r="A3" t="s">
        <v>50</v>
      </c>
      <c r="B3">
        <f>(730*0.06)</f>
        <v>43.8</v>
      </c>
      <c r="C3">
        <f>(730*0.064)</f>
        <v>46.72</v>
      </c>
      <c r="D3" s="27">
        <v>26.57</v>
      </c>
      <c r="E3" s="27">
        <v>27.81</v>
      </c>
      <c r="F3" s="26">
        <f>(D3-B3)/B3</f>
        <v>-0.3933789954337899</v>
      </c>
      <c r="G3" s="26">
        <f>(E3-C3)/C3</f>
        <v>-0.40475171232876711</v>
      </c>
    </row>
    <row r="4" spans="1:7" x14ac:dyDescent="0.45">
      <c r="A4" t="s">
        <v>51</v>
      </c>
      <c r="B4">
        <f>(730*0.1108)</f>
        <v>80.884</v>
      </c>
      <c r="C4">
        <f>(730*0.1188)</f>
        <v>86.724000000000004</v>
      </c>
      <c r="D4" s="27">
        <v>46.36</v>
      </c>
      <c r="E4" s="27">
        <v>48.91</v>
      </c>
      <c r="F4" s="26">
        <f t="shared" ref="F4:F10" si="0">(D4-B4)/B4</f>
        <v>-0.42683348993620496</v>
      </c>
      <c r="G4" s="26">
        <f t="shared" ref="G4:G10" si="1">(E4-C4)/C4</f>
        <v>-0.4360269360269361</v>
      </c>
    </row>
    <row r="5" spans="1:7" x14ac:dyDescent="0.45">
      <c r="A5" t="s">
        <v>52</v>
      </c>
      <c r="B5">
        <f>(730*0.177)</f>
        <v>129.20999999999998</v>
      </c>
      <c r="C5">
        <f>(730*0.188)</f>
        <v>137.24</v>
      </c>
      <c r="D5" s="27">
        <v>93.44</v>
      </c>
      <c r="E5" s="27">
        <v>97.09</v>
      </c>
      <c r="F5" s="26">
        <f t="shared" si="0"/>
        <v>-0.27683615819209029</v>
      </c>
      <c r="G5" s="26">
        <f t="shared" si="1"/>
        <v>-0.29255319148936171</v>
      </c>
    </row>
    <row r="6" spans="1:7" x14ac:dyDescent="0.45">
      <c r="A6" t="s">
        <v>53</v>
      </c>
      <c r="B6">
        <f>(730*0.354)</f>
        <v>258.41999999999996</v>
      </c>
      <c r="C6">
        <f>(730*0.376)</f>
        <v>274.48</v>
      </c>
      <c r="D6" s="27">
        <v>186.15</v>
      </c>
      <c r="E6" s="27">
        <v>194.91</v>
      </c>
      <c r="F6" s="26">
        <f t="shared" si="0"/>
        <v>-0.27966101694915241</v>
      </c>
      <c r="G6" s="26">
        <f t="shared" si="1"/>
        <v>-0.28989361702127664</v>
      </c>
    </row>
    <row r="7" spans="1:7" x14ac:dyDescent="0.45">
      <c r="A7" t="s">
        <v>54</v>
      </c>
      <c r="B7">
        <f>(730*0.708)</f>
        <v>516.83999999999992</v>
      </c>
      <c r="C7">
        <f>(730*0.752)</f>
        <v>548.96</v>
      </c>
      <c r="D7" s="27">
        <v>372.3</v>
      </c>
      <c r="E7" s="27">
        <v>389.82</v>
      </c>
      <c r="F7" s="26">
        <f t="shared" si="0"/>
        <v>-0.27966101694915241</v>
      </c>
      <c r="G7" s="26">
        <f t="shared" si="1"/>
        <v>-0.28989361702127664</v>
      </c>
    </row>
    <row r="8" spans="1:7" x14ac:dyDescent="0.45">
      <c r="A8" t="s">
        <v>56</v>
      </c>
      <c r="B8">
        <f>(730*0.71)</f>
        <v>518.29999999999995</v>
      </c>
      <c r="C8">
        <f>(730*0.771)</f>
        <v>562.83000000000004</v>
      </c>
      <c r="D8" s="27">
        <v>300.02999999999997</v>
      </c>
      <c r="E8" s="27">
        <v>319.01</v>
      </c>
      <c r="F8" s="26">
        <f t="shared" si="0"/>
        <v>-0.42112676056338028</v>
      </c>
      <c r="G8" s="26">
        <f t="shared" si="1"/>
        <v>-0.43320363164721148</v>
      </c>
    </row>
    <row r="9" spans="1:7" x14ac:dyDescent="0.45">
      <c r="A9" t="s">
        <v>57</v>
      </c>
      <c r="B9">
        <f>(730*1.12)</f>
        <v>817.6</v>
      </c>
      <c r="C9">
        <f>(730*1.206)</f>
        <v>880.38</v>
      </c>
      <c r="D9" s="27">
        <v>505.89</v>
      </c>
      <c r="E9" s="27">
        <v>532.9</v>
      </c>
      <c r="F9" s="26">
        <f t="shared" si="0"/>
        <v>-0.38125000000000003</v>
      </c>
      <c r="G9" s="26">
        <f t="shared" si="1"/>
        <v>-0.39469320066334995</v>
      </c>
    </row>
    <row r="10" spans="1:7" x14ac:dyDescent="0.45">
      <c r="A10" t="s">
        <v>55</v>
      </c>
      <c r="B10">
        <f>(730*1.94)</f>
        <v>1416.2</v>
      </c>
      <c r="C10">
        <f>(730*2.078)</f>
        <v>1516.9399999999998</v>
      </c>
      <c r="D10" s="27">
        <v>916.88</v>
      </c>
      <c r="E10" s="27">
        <v>960.68</v>
      </c>
      <c r="F10" s="26">
        <f t="shared" si="0"/>
        <v>-0.35257731958762889</v>
      </c>
      <c r="G10" s="26">
        <f t="shared" si="1"/>
        <v>-0.36669874879692005</v>
      </c>
    </row>
    <row r="21" spans="1:3" x14ac:dyDescent="0.45">
      <c r="B21" s="27" t="s">
        <v>136</v>
      </c>
      <c r="C21" s="27" t="s">
        <v>137</v>
      </c>
    </row>
    <row r="22" spans="1:3" x14ac:dyDescent="0.45">
      <c r="A22" t="s">
        <v>47</v>
      </c>
      <c r="B22">
        <v>0.1</v>
      </c>
      <c r="C22">
        <v>0.11</v>
      </c>
    </row>
    <row r="23" spans="1:3" x14ac:dyDescent="0.45">
      <c r="A23" t="s">
        <v>96</v>
      </c>
      <c r="B23">
        <v>1.2999999999999999E-2</v>
      </c>
      <c r="C23">
        <v>1.2999999999999999E-2</v>
      </c>
    </row>
    <row r="24" spans="1:3" x14ac:dyDescent="0.45">
      <c r="A24" t="s">
        <v>97</v>
      </c>
      <c r="B24">
        <v>2.5000000000000001E-2</v>
      </c>
      <c r="C24">
        <v>2.5000000000000001E-2</v>
      </c>
    </row>
    <row r="25" spans="1:3" x14ac:dyDescent="0.45">
      <c r="A25" t="s">
        <v>223</v>
      </c>
      <c r="B25">
        <v>2.2000000000000002</v>
      </c>
      <c r="C25">
        <v>2.42</v>
      </c>
    </row>
    <row r="26" spans="1:3" x14ac:dyDescent="0.45">
      <c r="A26" t="s">
        <v>224</v>
      </c>
      <c r="B26">
        <v>4.5</v>
      </c>
      <c r="C26">
        <v>4.95</v>
      </c>
    </row>
    <row r="27" spans="1:3" x14ac:dyDescent="0.45">
      <c r="A27" t="s">
        <v>151</v>
      </c>
      <c r="B27">
        <f>(730*0.05)</f>
        <v>36.5</v>
      </c>
      <c r="C27">
        <f>(730*0.05)</f>
        <v>36.5</v>
      </c>
    </row>
    <row r="28" spans="1:3" x14ac:dyDescent="0.45">
      <c r="A28" t="s">
        <v>150</v>
      </c>
      <c r="B28">
        <v>0.09</v>
      </c>
      <c r="C28">
        <v>0.09</v>
      </c>
    </row>
    <row r="29" spans="1:3" x14ac:dyDescent="0.45">
      <c r="A29" t="s">
        <v>152</v>
      </c>
      <c r="B29">
        <v>4.1900000000000004</v>
      </c>
      <c r="C29">
        <v>4.1900000000000004</v>
      </c>
    </row>
    <row r="30" spans="1:3" x14ac:dyDescent="0.45">
      <c r="A30" t="s">
        <v>169</v>
      </c>
      <c r="B30">
        <v>1</v>
      </c>
      <c r="C30">
        <v>1.0900000000000001</v>
      </c>
    </row>
    <row r="31" spans="1:3" x14ac:dyDescent="0.45">
      <c r="A31" t="s">
        <v>170</v>
      </c>
      <c r="B31">
        <v>2.73</v>
      </c>
      <c r="C31">
        <v>2.97</v>
      </c>
    </row>
  </sheetData>
  <mergeCells count="2">
    <mergeCell ref="B1:C1"/>
    <mergeCell ref="D1:E1"/>
  </mergeCells>
  <pageMargins left="0.7" right="0.7" top="0.75" bottom="0.75" header="0.3" footer="0.3"/>
  <pageSetup paperSize="9" orientation="portrait" verticalDpi="0" r:id="rId1"/>
  <headerFooter>
    <oddFooter>&amp;C&amp;1#&amp;"Calibri"&amp;8&amp;K000000Sensitivity: Internal (R3)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64</vt:i4>
      </vt:variant>
    </vt:vector>
  </HeadingPairs>
  <TitlesOfParts>
    <vt:vector size="71" baseType="lpstr">
      <vt:lpstr>XProtect Calulator</vt:lpstr>
      <vt:lpstr>Input</vt:lpstr>
      <vt:lpstr>Calulations</vt:lpstr>
      <vt:lpstr>EC2</vt:lpstr>
      <vt:lpstr>EC2 Guideline</vt:lpstr>
      <vt:lpstr>Storage Calulations</vt:lpstr>
      <vt:lpstr>AWS Prices</vt:lpstr>
      <vt:lpstr>AppStream_Hours</vt:lpstr>
      <vt:lpstr>AppStream_Instance_Type</vt:lpstr>
      <vt:lpstr>AppStream_Streaming_Price</vt:lpstr>
      <vt:lpstr>AppStream_Users_Price</vt:lpstr>
      <vt:lpstr>Archive</vt:lpstr>
      <vt:lpstr>Archive_Storage</vt:lpstr>
      <vt:lpstr>AWS_Services</vt:lpstr>
      <vt:lpstr>Check_EC2_Payment</vt:lpstr>
      <vt:lpstr>Check_Region</vt:lpstr>
      <vt:lpstr>Client_Access</vt:lpstr>
      <vt:lpstr>Custom_Archive</vt:lpstr>
      <vt:lpstr>Custom_MediaDB</vt:lpstr>
      <vt:lpstr>Daily_Usage</vt:lpstr>
      <vt:lpstr>Down_Throughput</vt:lpstr>
      <vt:lpstr>Downlink</vt:lpstr>
      <vt:lpstr>EBS_ConfigDB_Price</vt:lpstr>
      <vt:lpstr>EBS_LiveDB_Price</vt:lpstr>
      <vt:lpstr>EC2_Instance</vt:lpstr>
      <vt:lpstr>EC2_Instances</vt:lpstr>
      <vt:lpstr>EC2_Payment</vt:lpstr>
      <vt:lpstr>EC2_Payment_Name</vt:lpstr>
      <vt:lpstr>EC2_Performance</vt:lpstr>
      <vt:lpstr>EC2_Performance_10</vt:lpstr>
      <vt:lpstr>EC2_Performance_100</vt:lpstr>
      <vt:lpstr>EC2_Performance_25</vt:lpstr>
      <vt:lpstr>EC2_Performance_50</vt:lpstr>
      <vt:lpstr>EC2_Price</vt:lpstr>
      <vt:lpstr>EC2_Price_Column</vt:lpstr>
      <vt:lpstr>EC2Data</vt:lpstr>
      <vt:lpstr>Egress_per_Month</vt:lpstr>
      <vt:lpstr>Egress_Price</vt:lpstr>
      <vt:lpstr>Error_Message</vt:lpstr>
      <vt:lpstr>FSX_AZ</vt:lpstr>
      <vt:lpstr>FSX_AZ_Deployment</vt:lpstr>
      <vt:lpstr>FSX_Storage_Price</vt:lpstr>
      <vt:lpstr>FSX_Thoughput_Allocation</vt:lpstr>
      <vt:lpstr>FSX_Throughput_Price</vt:lpstr>
      <vt:lpstr>InputData</vt:lpstr>
      <vt:lpstr>Live_Storage</vt:lpstr>
      <vt:lpstr>MediaDB</vt:lpstr>
      <vt:lpstr>Network_Overhead</vt:lpstr>
      <vt:lpstr>No_Cameras</vt:lpstr>
      <vt:lpstr>No_Operators</vt:lpstr>
      <vt:lpstr>No_Sites</vt:lpstr>
      <vt:lpstr>Rec_degree</vt:lpstr>
      <vt:lpstr>Rec_Stream</vt:lpstr>
      <vt:lpstr>Region</vt:lpstr>
      <vt:lpstr>Region_Name</vt:lpstr>
      <vt:lpstr>Req_Archive</vt:lpstr>
      <vt:lpstr>Req_MediaDB</vt:lpstr>
      <vt:lpstr>ReqStorage</vt:lpstr>
      <vt:lpstr>Retention_Time</vt:lpstr>
      <vt:lpstr>Retention_Unit</vt:lpstr>
      <vt:lpstr>Storage_Input</vt:lpstr>
      <vt:lpstr>StorageData</vt:lpstr>
      <vt:lpstr>Throughput</vt:lpstr>
      <vt:lpstr>Time_Factor</vt:lpstr>
      <vt:lpstr>Up_Throughput</vt:lpstr>
      <vt:lpstr>Uplink</vt:lpstr>
      <vt:lpstr>Video_Streams</vt:lpstr>
      <vt:lpstr>Viewed_Cameras</vt:lpstr>
      <vt:lpstr>VPN</vt:lpstr>
      <vt:lpstr>VPN_Price</vt:lpstr>
      <vt:lpstr>Weighted_no_Cameras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JLI@milestonesys.com</dc:creator>
  <cp:lastModifiedBy>Jan Lindeberg</cp:lastModifiedBy>
  <cp:lastPrinted>2020-06-07T16:42:06Z</cp:lastPrinted>
  <dcterms:created xsi:type="dcterms:W3CDTF">2020-02-12T11:24:51Z</dcterms:created>
  <dcterms:modified xsi:type="dcterms:W3CDTF">2020-06-10T20:31:42Z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a506b4-08b1-46de-a172-d2a2629314fb_Enabled">
    <vt:lpwstr>True</vt:lpwstr>
  </property>
  <property fmtid="{D5CDD505-2E9C-101B-9397-08002B2CF9AE}" pid="3" name="MSIP_Label_91a506b4-08b1-46de-a172-d2a2629314fb_SiteId">
    <vt:lpwstr>4744e4b2-072d-4754-be71-250b45e049fe</vt:lpwstr>
  </property>
  <property fmtid="{D5CDD505-2E9C-101B-9397-08002B2CF9AE}" pid="4" name="MSIP_Label_91a506b4-08b1-46de-a172-d2a2629314fb_Owner">
    <vt:lpwstr>pek@milestone.dk</vt:lpwstr>
  </property>
  <property fmtid="{D5CDD505-2E9C-101B-9397-08002B2CF9AE}" pid="5" name="MSIP_Label_91a506b4-08b1-46de-a172-d2a2629314fb_SetDate">
    <vt:lpwstr>2020-03-17T09:48:56.0289765Z</vt:lpwstr>
  </property>
  <property fmtid="{D5CDD505-2E9C-101B-9397-08002B2CF9AE}" pid="6" name="MSIP_Label_91a506b4-08b1-46de-a172-d2a2629314fb_Name">
    <vt:lpwstr>Internal (R3)</vt:lpwstr>
  </property>
  <property fmtid="{D5CDD505-2E9C-101B-9397-08002B2CF9AE}" pid="7" name="MSIP_Label_91a506b4-08b1-46de-a172-d2a2629314fb_Application">
    <vt:lpwstr>Microsoft Azure Information Protection</vt:lpwstr>
  </property>
  <property fmtid="{D5CDD505-2E9C-101B-9397-08002B2CF9AE}" pid="8" name="MSIP_Label_91a506b4-08b1-46de-a172-d2a2629314fb_ActionId">
    <vt:lpwstr>9942d234-977d-45b7-86ac-83a287833667</vt:lpwstr>
  </property>
  <property fmtid="{D5CDD505-2E9C-101B-9397-08002B2CF9AE}" pid="9" name="MSIP_Label_91a506b4-08b1-46de-a172-d2a2629314fb_Extended_MSFT_Method">
    <vt:lpwstr>Manual</vt:lpwstr>
  </property>
  <property fmtid="{D5CDD505-2E9C-101B-9397-08002B2CF9AE}" pid="10" name="Sensitivity">
    <vt:lpwstr>Internal (R3)</vt:lpwstr>
  </property>
</Properties>
</file>